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enestEstimateTesting\"/>
    </mc:Choice>
  </mc:AlternateContent>
  <bookViews>
    <workbookView xWindow="2760" yWindow="720" windowWidth="9195" windowHeight="5385" tabRatio="635" activeTab="3"/>
  </bookViews>
  <sheets>
    <sheet name="Detail" sheetId="4" r:id="rId1"/>
    <sheet name="Summary" sheetId="7" r:id="rId2"/>
    <sheet name="Calculations" sheetId="8" state="hidden" r:id="rId3"/>
    <sheet name="Detail Report" sheetId="9" r:id="rId4"/>
    <sheet name="Summary Report" sheetId="10" r:id="rId5"/>
  </sheets>
  <calcPr calcId="162913"/>
</workbook>
</file>

<file path=xl/calcChain.xml><?xml version="1.0" encoding="utf-8"?>
<calcChain xmlns="http://schemas.openxmlformats.org/spreadsheetml/2006/main">
  <c r="C59" i="10" l="1"/>
  <c r="C58" i="10"/>
  <c r="A58" i="10"/>
  <c r="C57" i="10"/>
  <c r="A57" i="10"/>
  <c r="A56" i="10"/>
  <c r="A55" i="10"/>
  <c r="H49" i="10"/>
  <c r="G49" i="10"/>
  <c r="F49" i="10"/>
  <c r="C49" i="10" s="1"/>
  <c r="E49" i="10"/>
  <c r="D49" i="10"/>
  <c r="E38" i="10"/>
  <c r="D38" i="10"/>
  <c r="C38" i="10" s="1"/>
  <c r="E37" i="10"/>
  <c r="C37" i="10" s="1"/>
  <c r="D37" i="10"/>
  <c r="E36" i="10"/>
  <c r="D36" i="10"/>
  <c r="C36" i="10" s="1"/>
  <c r="E34" i="10"/>
  <c r="D34" i="10"/>
  <c r="C34" i="10"/>
  <c r="E33" i="10"/>
  <c r="D33" i="10"/>
  <c r="D42" i="10" s="1"/>
  <c r="C33" i="10"/>
  <c r="E32" i="10"/>
  <c r="C32" i="10" s="1"/>
  <c r="D32" i="10"/>
  <c r="D30" i="10"/>
  <c r="D28" i="10"/>
  <c r="F22" i="10"/>
  <c r="F20" i="10"/>
  <c r="H16" i="10"/>
  <c r="G16" i="10"/>
  <c r="F16" i="10"/>
  <c r="E16" i="10"/>
  <c r="D16" i="10"/>
  <c r="C16" i="10" s="1"/>
  <c r="G15" i="10"/>
  <c r="F15" i="10"/>
  <c r="H15" i="10" s="1"/>
  <c r="E15" i="10"/>
  <c r="D15" i="10"/>
  <c r="C15" i="10" s="1"/>
  <c r="H14" i="10"/>
  <c r="G14" i="10"/>
  <c r="F14" i="10"/>
  <c r="E14" i="10"/>
  <c r="D14" i="10"/>
  <c r="C14" i="10" s="1"/>
  <c r="G12" i="10"/>
  <c r="F12" i="10"/>
  <c r="H12" i="10" s="1"/>
  <c r="E12" i="10"/>
  <c r="D12" i="10"/>
  <c r="C12" i="10" s="1"/>
  <c r="H11" i="10"/>
  <c r="G11" i="10"/>
  <c r="G22" i="10" s="1"/>
  <c r="F11" i="10"/>
  <c r="E11" i="10"/>
  <c r="E22" i="10" s="1"/>
  <c r="D11" i="10"/>
  <c r="G10" i="10"/>
  <c r="F10" i="10"/>
  <c r="H10" i="10" s="1"/>
  <c r="E10" i="10"/>
  <c r="D10" i="10"/>
  <c r="G8" i="10"/>
  <c r="F8" i="10"/>
  <c r="E8" i="10"/>
  <c r="D8" i="10"/>
  <c r="G6" i="10"/>
  <c r="F6" i="10"/>
  <c r="E6" i="10"/>
  <c r="D6" i="10"/>
  <c r="A1" i="10"/>
  <c r="C82" i="9"/>
  <c r="A82" i="9"/>
  <c r="H81" i="9"/>
  <c r="H82" i="9" s="1"/>
  <c r="I80" i="9"/>
  <c r="I81" i="9" s="1"/>
  <c r="H80" i="9"/>
  <c r="G80" i="9"/>
  <c r="G81" i="9" s="1"/>
  <c r="F80" i="9"/>
  <c r="E80" i="9"/>
  <c r="E81" i="9" s="1"/>
  <c r="C80" i="9"/>
  <c r="I79" i="9"/>
  <c r="H79" i="9"/>
  <c r="G79" i="9"/>
  <c r="F79" i="9"/>
  <c r="E79" i="9"/>
  <c r="C79" i="9"/>
  <c r="I78" i="9"/>
  <c r="I82" i="9" s="1"/>
  <c r="H78" i="9"/>
  <c r="G78" i="9"/>
  <c r="G82" i="9" s="1"/>
  <c r="F78" i="9"/>
  <c r="E78" i="9"/>
  <c r="C78" i="9"/>
  <c r="C74" i="9"/>
  <c r="A74" i="9"/>
  <c r="C73" i="9"/>
  <c r="G72" i="9"/>
  <c r="G73" i="9" s="1"/>
  <c r="E72" i="9"/>
  <c r="E73" i="9" s="1"/>
  <c r="D72" i="9"/>
  <c r="D73" i="9" s="1"/>
  <c r="C72" i="9"/>
  <c r="G71" i="9"/>
  <c r="E71" i="9"/>
  <c r="D71" i="9"/>
  <c r="C71" i="9"/>
  <c r="G70" i="9"/>
  <c r="G74" i="9" s="1"/>
  <c r="E70" i="9"/>
  <c r="E74" i="9" s="1"/>
  <c r="D70" i="9"/>
  <c r="C70" i="9"/>
  <c r="C66" i="9"/>
  <c r="A66" i="9"/>
  <c r="C65" i="9"/>
  <c r="A65" i="9"/>
  <c r="C64" i="9"/>
  <c r="A64" i="9"/>
  <c r="C63" i="9"/>
  <c r="A63" i="9"/>
  <c r="D62" i="9"/>
  <c r="C62" i="9"/>
  <c r="D61" i="9"/>
  <c r="D59" i="9"/>
  <c r="C57" i="9"/>
  <c r="C56" i="9"/>
  <c r="C55" i="9"/>
  <c r="C53" i="9"/>
  <c r="C51" i="9"/>
  <c r="C50" i="9"/>
  <c r="C49" i="9"/>
  <c r="D48" i="9"/>
  <c r="C48" i="9"/>
  <c r="C44" i="9"/>
  <c r="C43" i="9"/>
  <c r="C41" i="9"/>
  <c r="A41" i="9"/>
  <c r="D39" i="9"/>
  <c r="D40" i="9" s="1"/>
  <c r="C39" i="9"/>
  <c r="D38" i="9"/>
  <c r="C38" i="9"/>
  <c r="D37" i="9"/>
  <c r="D41" i="9" s="1"/>
  <c r="C37" i="9"/>
  <c r="C33" i="9"/>
  <c r="A33" i="9"/>
  <c r="C32" i="9"/>
  <c r="A32" i="9"/>
  <c r="C31" i="9"/>
  <c r="A31" i="9"/>
  <c r="C30" i="9"/>
  <c r="A30" i="9"/>
  <c r="J29" i="9"/>
  <c r="I29" i="9"/>
  <c r="F29" i="9"/>
  <c r="E29" i="9"/>
  <c r="C29" i="9"/>
  <c r="J26" i="9"/>
  <c r="I26" i="9"/>
  <c r="F26" i="9"/>
  <c r="E26" i="9"/>
  <c r="C24" i="9"/>
  <c r="C23" i="9"/>
  <c r="C22" i="9"/>
  <c r="C20" i="9"/>
  <c r="C19" i="9"/>
  <c r="C18" i="9"/>
  <c r="C17" i="9"/>
  <c r="J16" i="9"/>
  <c r="I16" i="9"/>
  <c r="F16" i="9"/>
  <c r="E16" i="9"/>
  <c r="C16" i="9"/>
  <c r="F14" i="9"/>
  <c r="C14" i="9"/>
  <c r="C13" i="9"/>
  <c r="C11" i="9"/>
  <c r="J9" i="9"/>
  <c r="H9" i="9"/>
  <c r="G9" i="9"/>
  <c r="F9" i="9"/>
  <c r="E9" i="9"/>
  <c r="J8" i="9"/>
  <c r="I8" i="9"/>
  <c r="K8" i="9" s="1"/>
  <c r="H8" i="9"/>
  <c r="G8" i="9"/>
  <c r="F8" i="9"/>
  <c r="E8" i="9"/>
  <c r="J6" i="9"/>
  <c r="J10" i="9" s="1"/>
  <c r="J11" i="9" s="1"/>
  <c r="I6" i="9"/>
  <c r="H6" i="9"/>
  <c r="H10" i="9" s="1"/>
  <c r="H11" i="9" s="1"/>
  <c r="G6" i="9"/>
  <c r="G10" i="9" s="1"/>
  <c r="F6" i="9"/>
  <c r="F10" i="9" s="1"/>
  <c r="F11" i="9" s="1"/>
  <c r="E6" i="9"/>
  <c r="J5" i="9"/>
  <c r="J7" i="9" s="1"/>
  <c r="H5" i="9"/>
  <c r="I5" i="9" s="1"/>
  <c r="I7" i="9" s="1"/>
  <c r="G5" i="9"/>
  <c r="G7" i="9" s="1"/>
  <c r="F5" i="9"/>
  <c r="E5" i="9"/>
  <c r="J4" i="9"/>
  <c r="H4" i="9"/>
  <c r="G4" i="9"/>
  <c r="F4" i="9"/>
  <c r="E4" i="9"/>
  <c r="C4" i="9"/>
  <c r="A1" i="9"/>
  <c r="D62" i="8"/>
  <c r="K50" i="8"/>
  <c r="I50" i="8"/>
  <c r="J28" i="9" s="1"/>
  <c r="G50" i="8"/>
  <c r="F50" i="8"/>
  <c r="E50" i="8"/>
  <c r="F28" i="9" s="1"/>
  <c r="D50" i="8"/>
  <c r="E28" i="9" s="1"/>
  <c r="K49" i="8"/>
  <c r="D45" i="9" s="1"/>
  <c r="I49" i="8"/>
  <c r="J15" i="9" s="1"/>
  <c r="G49" i="8"/>
  <c r="F49" i="8"/>
  <c r="E49" i="8"/>
  <c r="F15" i="9" s="1"/>
  <c r="D49" i="8"/>
  <c r="E15" i="9" s="1"/>
  <c r="K47" i="8"/>
  <c r="I47" i="8"/>
  <c r="G47" i="8"/>
  <c r="F47" i="8"/>
  <c r="E47" i="8"/>
  <c r="D47" i="8"/>
  <c r="K46" i="8"/>
  <c r="I46" i="8"/>
  <c r="H46" i="8"/>
  <c r="G46" i="8"/>
  <c r="F46" i="8"/>
  <c r="E46" i="8"/>
  <c r="D46" i="8"/>
  <c r="J45" i="8"/>
  <c r="H45" i="8"/>
  <c r="C45" i="8"/>
  <c r="H44" i="8"/>
  <c r="J44" i="8" s="1"/>
  <c r="J43" i="8"/>
  <c r="H43" i="8"/>
  <c r="C42" i="8"/>
  <c r="C9" i="9" s="1"/>
  <c r="K41" i="8"/>
  <c r="D56" i="9" s="1"/>
  <c r="D58" i="9" s="1"/>
  <c r="I41" i="8"/>
  <c r="H41" i="8"/>
  <c r="G41" i="8"/>
  <c r="F41" i="8"/>
  <c r="E41" i="8"/>
  <c r="D41" i="8"/>
  <c r="K40" i="8"/>
  <c r="I40" i="8"/>
  <c r="H40" i="8"/>
  <c r="G40" i="8"/>
  <c r="F40" i="8"/>
  <c r="E40" i="8"/>
  <c r="D40" i="8"/>
  <c r="H39" i="8"/>
  <c r="J39" i="8" s="1"/>
  <c r="C39" i="8"/>
  <c r="H38" i="8"/>
  <c r="J38" i="8" s="1"/>
  <c r="J41" i="8" s="1"/>
  <c r="C38" i="8"/>
  <c r="C41" i="8" s="1"/>
  <c r="J37" i="8"/>
  <c r="H37" i="8"/>
  <c r="K35" i="8"/>
  <c r="J35" i="8"/>
  <c r="K23" i="9" s="1"/>
  <c r="I35" i="8"/>
  <c r="J23" i="9" s="1"/>
  <c r="G35" i="8"/>
  <c r="F35" i="8"/>
  <c r="E35" i="8"/>
  <c r="F23" i="9" s="1"/>
  <c r="F25" i="9" s="1"/>
  <c r="D35" i="8"/>
  <c r="E23" i="9" s="1"/>
  <c r="K34" i="8"/>
  <c r="I34" i="8"/>
  <c r="G34" i="8"/>
  <c r="F34" i="8"/>
  <c r="E34" i="8"/>
  <c r="D34" i="8"/>
  <c r="H33" i="8"/>
  <c r="J33" i="8" s="1"/>
  <c r="C33" i="8"/>
  <c r="C35" i="8" s="1"/>
  <c r="J32" i="8"/>
  <c r="C32" i="8" s="1"/>
  <c r="H32" i="8"/>
  <c r="H35" i="8" s="1"/>
  <c r="I23" i="9" s="1"/>
  <c r="H31" i="8"/>
  <c r="H34" i="8" s="1"/>
  <c r="K29" i="8"/>
  <c r="I29" i="8"/>
  <c r="G29" i="8"/>
  <c r="F29" i="8"/>
  <c r="E29" i="8"/>
  <c r="D29" i="8"/>
  <c r="K28" i="8"/>
  <c r="I28" i="8"/>
  <c r="G28" i="8"/>
  <c r="F28" i="8"/>
  <c r="E28" i="8"/>
  <c r="D28" i="8"/>
  <c r="J27" i="8"/>
  <c r="C27" i="8" s="1"/>
  <c r="H27" i="8"/>
  <c r="J26" i="8"/>
  <c r="C26" i="8" s="1"/>
  <c r="C29" i="8" s="1"/>
  <c r="H26" i="8"/>
  <c r="H29" i="8" s="1"/>
  <c r="H25" i="8"/>
  <c r="C24" i="8"/>
  <c r="K23" i="8"/>
  <c r="I23" i="8"/>
  <c r="G23" i="8"/>
  <c r="F23" i="8"/>
  <c r="E23" i="8"/>
  <c r="D23" i="8"/>
  <c r="K22" i="8"/>
  <c r="I22" i="8"/>
  <c r="G22" i="8"/>
  <c r="F22" i="8"/>
  <c r="E22" i="8"/>
  <c r="D22" i="8"/>
  <c r="J21" i="8"/>
  <c r="C21" i="8" s="1"/>
  <c r="H21" i="8"/>
  <c r="J20" i="8"/>
  <c r="C20" i="8" s="1"/>
  <c r="C23" i="8" s="1"/>
  <c r="H20" i="8"/>
  <c r="H23" i="8" s="1"/>
  <c r="H19" i="8"/>
  <c r="C18" i="8"/>
  <c r="K17" i="8"/>
  <c r="D57" i="9" s="1"/>
  <c r="I17" i="8"/>
  <c r="J24" i="9" s="1"/>
  <c r="G17" i="8"/>
  <c r="F17" i="8"/>
  <c r="E17" i="8"/>
  <c r="F24" i="9" s="1"/>
  <c r="D17" i="8"/>
  <c r="E24" i="9" s="1"/>
  <c r="K16" i="8"/>
  <c r="D44" i="9" s="1"/>
  <c r="I16" i="8"/>
  <c r="J14" i="9" s="1"/>
  <c r="G16" i="8"/>
  <c r="F16" i="8"/>
  <c r="E16" i="8"/>
  <c r="D16" i="8"/>
  <c r="E14" i="9" s="1"/>
  <c r="J15" i="8"/>
  <c r="C15" i="8" s="1"/>
  <c r="H15" i="8"/>
  <c r="J14" i="8"/>
  <c r="H14" i="8"/>
  <c r="H17" i="8" s="1"/>
  <c r="I24" i="9" s="1"/>
  <c r="H13" i="8"/>
  <c r="K11" i="8"/>
  <c r="D55" i="9" s="1"/>
  <c r="I11" i="8"/>
  <c r="J22" i="9" s="1"/>
  <c r="H11" i="8"/>
  <c r="I22" i="9" s="1"/>
  <c r="G11" i="8"/>
  <c r="F11" i="8"/>
  <c r="E11" i="8"/>
  <c r="F22" i="9" s="1"/>
  <c r="D11" i="8"/>
  <c r="E22" i="9" s="1"/>
  <c r="K10" i="8"/>
  <c r="D43" i="9" s="1"/>
  <c r="I10" i="8"/>
  <c r="J13" i="9" s="1"/>
  <c r="G10" i="8"/>
  <c r="F10" i="8"/>
  <c r="E10" i="8"/>
  <c r="F13" i="9" s="1"/>
  <c r="D10" i="8"/>
  <c r="E13" i="9" s="1"/>
  <c r="J9" i="8"/>
  <c r="C9" i="8" s="1"/>
  <c r="H9" i="8"/>
  <c r="H8" i="8"/>
  <c r="J8" i="8" s="1"/>
  <c r="C8" i="8" s="1"/>
  <c r="C11" i="8" s="1"/>
  <c r="H7" i="8"/>
  <c r="H10" i="8" s="1"/>
  <c r="I13" i="9" s="1"/>
  <c r="C5" i="8"/>
  <c r="C45" i="7"/>
  <c r="C35" i="7"/>
  <c r="C34" i="7"/>
  <c r="C33" i="7"/>
  <c r="C31" i="7"/>
  <c r="C30" i="7"/>
  <c r="C29" i="7"/>
  <c r="D27" i="7"/>
  <c r="D41" i="7" s="1"/>
  <c r="D25" i="7"/>
  <c r="D39" i="7" s="1"/>
  <c r="F20" i="7"/>
  <c r="E20" i="7"/>
  <c r="F18" i="7"/>
  <c r="E18" i="7"/>
  <c r="H14" i="7"/>
  <c r="C14" i="7"/>
  <c r="H13" i="7"/>
  <c r="C13" i="7"/>
  <c r="H12" i="7"/>
  <c r="C12" i="7"/>
  <c r="H10" i="7"/>
  <c r="C10" i="7"/>
  <c r="H9" i="7"/>
  <c r="C9" i="7"/>
  <c r="H8" i="7"/>
  <c r="C8" i="7"/>
  <c r="G6" i="7"/>
  <c r="G20" i="7" s="1"/>
  <c r="F6" i="7"/>
  <c r="E6" i="7"/>
  <c r="D6" i="7"/>
  <c r="D20" i="7" s="1"/>
  <c r="G4" i="7"/>
  <c r="G18" i="7" s="1"/>
  <c r="F4" i="7"/>
  <c r="E4" i="7"/>
  <c r="D4" i="7"/>
  <c r="D18" i="7" s="1"/>
  <c r="H77" i="4"/>
  <c r="F77" i="4"/>
  <c r="E48" i="10" s="1"/>
  <c r="E50" i="10" s="1"/>
  <c r="C77" i="4"/>
  <c r="I76" i="4"/>
  <c r="I77" i="4" s="1"/>
  <c r="H76" i="4"/>
  <c r="G76" i="4"/>
  <c r="G77" i="4" s="1"/>
  <c r="F76" i="4"/>
  <c r="E76" i="4"/>
  <c r="E77" i="4" s="1"/>
  <c r="C76" i="4"/>
  <c r="D75" i="4"/>
  <c r="D76" i="4" s="1"/>
  <c r="D77" i="4" s="1"/>
  <c r="C75" i="4"/>
  <c r="D74" i="4"/>
  <c r="C74" i="4"/>
  <c r="D73" i="4"/>
  <c r="C73" i="4"/>
  <c r="C70" i="4"/>
  <c r="G69" i="4"/>
  <c r="G70" i="4" s="1"/>
  <c r="E69" i="4"/>
  <c r="E70" i="4" s="1"/>
  <c r="D69" i="4"/>
  <c r="D70" i="4" s="1"/>
  <c r="C69" i="4"/>
  <c r="C68" i="4"/>
  <c r="C67" i="4"/>
  <c r="F66" i="4"/>
  <c r="F70" i="4" s="1"/>
  <c r="C66" i="4"/>
  <c r="C63" i="4"/>
  <c r="C62" i="4"/>
  <c r="C61" i="4"/>
  <c r="C60" i="4"/>
  <c r="C59" i="4"/>
  <c r="D58" i="4"/>
  <c r="K67" i="8" s="1"/>
  <c r="K72" i="8" s="1"/>
  <c r="D54" i="4"/>
  <c r="C54" i="4"/>
  <c r="D55" i="4" s="1"/>
  <c r="K51" i="8" s="1"/>
  <c r="D53" i="4"/>
  <c r="C53" i="4"/>
  <c r="D52" i="4"/>
  <c r="C52" i="4"/>
  <c r="C50" i="4"/>
  <c r="C48" i="4"/>
  <c r="C47" i="4"/>
  <c r="C46" i="4"/>
  <c r="C45" i="4"/>
  <c r="D42" i="4"/>
  <c r="K65" i="8" s="1"/>
  <c r="K70" i="8" s="1"/>
  <c r="D41" i="4"/>
  <c r="C41" i="4"/>
  <c r="D40" i="4"/>
  <c r="C40" i="4"/>
  <c r="D38" i="4"/>
  <c r="C38" i="4"/>
  <c r="D37" i="4"/>
  <c r="C37" i="4"/>
  <c r="C36" i="4"/>
  <c r="C35" i="4"/>
  <c r="C34" i="4"/>
  <c r="C31" i="4"/>
  <c r="C30" i="4"/>
  <c r="C29" i="4"/>
  <c r="C28" i="4"/>
  <c r="C27" i="4"/>
  <c r="J26" i="4"/>
  <c r="I57" i="8" s="1"/>
  <c r="I62" i="8" s="1"/>
  <c r="F26" i="4"/>
  <c r="E57" i="8" s="1"/>
  <c r="E62" i="8" s="1"/>
  <c r="E26" i="4"/>
  <c r="D57" i="8" s="1"/>
  <c r="J22" i="4"/>
  <c r="J25" i="4" s="1"/>
  <c r="I22" i="4"/>
  <c r="F22" i="4"/>
  <c r="E22" i="4"/>
  <c r="C22" i="4"/>
  <c r="J21" i="4"/>
  <c r="J23" i="4" s="1"/>
  <c r="I51" i="8" s="1"/>
  <c r="I21" i="4"/>
  <c r="F21" i="4"/>
  <c r="F23" i="4" s="1"/>
  <c r="E51" i="8" s="1"/>
  <c r="F25" i="4" s="1"/>
  <c r="E21" i="4"/>
  <c r="E23" i="4" s="1"/>
  <c r="D51" i="8" s="1"/>
  <c r="C21" i="4"/>
  <c r="J20" i="4"/>
  <c r="F20" i="4"/>
  <c r="C20" i="4"/>
  <c r="E18" i="4"/>
  <c r="D5" i="10" s="1"/>
  <c r="C18" i="4"/>
  <c r="C17" i="4"/>
  <c r="C16" i="4"/>
  <c r="C15" i="4"/>
  <c r="C14" i="4"/>
  <c r="J13" i="4"/>
  <c r="I55" i="8" s="1"/>
  <c r="I60" i="8" s="1"/>
  <c r="F13" i="4"/>
  <c r="E55" i="8" s="1"/>
  <c r="E60" i="8" s="1"/>
  <c r="E13" i="4"/>
  <c r="D55" i="8" s="1"/>
  <c r="D60" i="8" s="1"/>
  <c r="J12" i="4"/>
  <c r="F12" i="4"/>
  <c r="E12" i="4"/>
  <c r="C12" i="4"/>
  <c r="J11" i="4"/>
  <c r="F11" i="4"/>
  <c r="E11" i="4"/>
  <c r="C11" i="4"/>
  <c r="G9" i="4"/>
  <c r="E9" i="4"/>
  <c r="D2" i="7" s="1"/>
  <c r="C9" i="4"/>
  <c r="J8" i="4"/>
  <c r="J9" i="4" s="1"/>
  <c r="H8" i="4"/>
  <c r="H9" i="4" s="1"/>
  <c r="G8" i="4"/>
  <c r="F8" i="4"/>
  <c r="F9" i="4" s="1"/>
  <c r="E8" i="4"/>
  <c r="C8" i="4"/>
  <c r="K7" i="4"/>
  <c r="I7" i="4"/>
  <c r="D7" i="4"/>
  <c r="C7" i="4"/>
  <c r="K6" i="4"/>
  <c r="I6" i="4"/>
  <c r="D6" i="4"/>
  <c r="C6" i="4"/>
  <c r="J5" i="4"/>
  <c r="H5" i="4"/>
  <c r="G5" i="4"/>
  <c r="F5" i="4"/>
  <c r="E5" i="4"/>
  <c r="C5" i="4"/>
  <c r="I4" i="4"/>
  <c r="I8" i="4" s="1"/>
  <c r="C4" i="4"/>
  <c r="I3" i="4"/>
  <c r="I5" i="4" s="1"/>
  <c r="C3" i="4"/>
  <c r="I2" i="4"/>
  <c r="I9" i="4" s="1"/>
  <c r="C2" i="4"/>
  <c r="E4" i="10" l="1"/>
  <c r="E53" i="8"/>
  <c r="F16" i="4"/>
  <c r="F17" i="4"/>
  <c r="E2" i="7"/>
  <c r="F18" i="4"/>
  <c r="F15" i="4"/>
  <c r="F48" i="10"/>
  <c r="F50" i="10" s="1"/>
  <c r="F44" i="7"/>
  <c r="F46" i="7" s="1"/>
  <c r="D16" i="7"/>
  <c r="E29" i="10"/>
  <c r="E26" i="7"/>
  <c r="L66" i="8"/>
  <c r="D22" i="9"/>
  <c r="D20" i="4"/>
  <c r="D23" i="9"/>
  <c r="D21" i="4"/>
  <c r="E27" i="10"/>
  <c r="L64" i="8"/>
  <c r="E24" i="7"/>
  <c r="D44" i="7"/>
  <c r="D48" i="10"/>
  <c r="H48" i="10"/>
  <c r="H50" i="10" s="1"/>
  <c r="H44" i="7"/>
  <c r="H46" i="7" s="1"/>
  <c r="F4" i="10"/>
  <c r="F18" i="10" s="1"/>
  <c r="H53" i="8"/>
  <c r="H58" i="8" s="1"/>
  <c r="F2" i="7"/>
  <c r="F16" i="7" s="1"/>
  <c r="I18" i="4"/>
  <c r="G4" i="10"/>
  <c r="G18" i="10" s="1"/>
  <c r="I53" i="8"/>
  <c r="I58" i="8" s="1"/>
  <c r="J18" i="4"/>
  <c r="J15" i="4"/>
  <c r="G2" i="7"/>
  <c r="G16" i="7" s="1"/>
  <c r="J16" i="4"/>
  <c r="J17" i="4"/>
  <c r="E26" i="10"/>
  <c r="L63" i="8"/>
  <c r="E23" i="7"/>
  <c r="I23" i="4"/>
  <c r="H51" i="8" s="1"/>
  <c r="I25" i="4" s="1"/>
  <c r="K63" i="8"/>
  <c r="D26" i="10"/>
  <c r="F19" i="9"/>
  <c r="F20" i="9"/>
  <c r="F17" i="9"/>
  <c r="F18" i="9"/>
  <c r="J17" i="9"/>
  <c r="J18" i="9"/>
  <c r="J19" i="9"/>
  <c r="J32" i="9" s="1"/>
  <c r="J20" i="9"/>
  <c r="J33" i="9" s="1"/>
  <c r="K2" i="4"/>
  <c r="K3" i="4"/>
  <c r="K4" i="4"/>
  <c r="I11" i="4"/>
  <c r="I15" i="4" s="1"/>
  <c r="E17" i="4"/>
  <c r="I20" i="4"/>
  <c r="E27" i="9"/>
  <c r="E31" i="4"/>
  <c r="D46" i="4"/>
  <c r="D48" i="4"/>
  <c r="D60" i="9"/>
  <c r="E44" i="7"/>
  <c r="E46" i="7" s="1"/>
  <c r="J31" i="8"/>
  <c r="J46" i="8"/>
  <c r="C43" i="8"/>
  <c r="C46" i="8" s="1"/>
  <c r="D23" i="7"/>
  <c r="F27" i="9"/>
  <c r="G48" i="10"/>
  <c r="G50" i="10" s="1"/>
  <c r="G44" i="7"/>
  <c r="G46" i="7" s="1"/>
  <c r="C81" i="9"/>
  <c r="C5" i="9"/>
  <c r="C40" i="9"/>
  <c r="C7" i="9"/>
  <c r="C10" i="9"/>
  <c r="J11" i="8"/>
  <c r="C14" i="8"/>
  <c r="J50" i="8"/>
  <c r="J17" i="8"/>
  <c r="H22" i="8"/>
  <c r="J19" i="8"/>
  <c r="J29" i="8"/>
  <c r="I25" i="9"/>
  <c r="J47" i="8"/>
  <c r="C44" i="8"/>
  <c r="C47" i="8" s="1"/>
  <c r="H50" i="8"/>
  <c r="K5" i="9"/>
  <c r="F7" i="9"/>
  <c r="C6" i="9"/>
  <c r="C8" i="9"/>
  <c r="D51" i="9"/>
  <c r="D65" i="9" s="1"/>
  <c r="D49" i="9"/>
  <c r="D53" i="9"/>
  <c r="D66" i="9" s="1"/>
  <c r="D50" i="9"/>
  <c r="D19" i="10"/>
  <c r="J27" i="9"/>
  <c r="H49" i="8"/>
  <c r="H16" i="8"/>
  <c r="J13" i="8"/>
  <c r="J23" i="8"/>
  <c r="H28" i="8"/>
  <c r="J25" i="8"/>
  <c r="D53" i="8"/>
  <c r="D4" i="10"/>
  <c r="E16" i="4"/>
  <c r="K21" i="4"/>
  <c r="E15" i="4"/>
  <c r="E20" i="4"/>
  <c r="I27" i="9"/>
  <c r="E25" i="4"/>
  <c r="D47" i="4"/>
  <c r="D50" i="4"/>
  <c r="D57" i="4"/>
  <c r="D3" i="7"/>
  <c r="J40" i="8"/>
  <c r="C37" i="8"/>
  <c r="C40" i="8" s="1"/>
  <c r="F81" i="9"/>
  <c r="F82" i="9" s="1"/>
  <c r="D79" i="9"/>
  <c r="H47" i="8"/>
  <c r="C48" i="8"/>
  <c r="G11" i="9"/>
  <c r="E10" i="9"/>
  <c r="D6" i="9"/>
  <c r="D8" i="9"/>
  <c r="D74" i="9"/>
  <c r="F70" i="9"/>
  <c r="F74" i="9" s="1"/>
  <c r="D78" i="9"/>
  <c r="D82" i="9" s="1"/>
  <c r="E82" i="9"/>
  <c r="E25" i="9"/>
  <c r="H7" i="9"/>
  <c r="J7" i="8"/>
  <c r="J25" i="9"/>
  <c r="E11" i="9"/>
  <c r="I4" i="9"/>
  <c r="E7" i="9"/>
  <c r="K6" i="9"/>
  <c r="I9" i="9"/>
  <c r="I10" i="9" s="1"/>
  <c r="C10" i="10"/>
  <c r="C11" i="10"/>
  <c r="D22" i="10"/>
  <c r="D20" i="10"/>
  <c r="D80" i="9"/>
  <c r="D81" i="9" s="1"/>
  <c r="G20" i="10"/>
  <c r="D44" i="10"/>
  <c r="E20" i="10"/>
  <c r="E25" i="7" l="1"/>
  <c r="E39" i="7" s="1"/>
  <c r="E37" i="7"/>
  <c r="J28" i="4"/>
  <c r="J29" i="4"/>
  <c r="D46" i="7"/>
  <c r="C46" i="7" s="1"/>
  <c r="C44" i="7"/>
  <c r="E41" i="10"/>
  <c r="E30" i="10"/>
  <c r="E44" i="10" s="1"/>
  <c r="E43" i="10"/>
  <c r="E54" i="8"/>
  <c r="F30" i="4"/>
  <c r="E18" i="9"/>
  <c r="E19" i="9"/>
  <c r="E20" i="9"/>
  <c r="E17" i="9"/>
  <c r="D27" i="10"/>
  <c r="D24" i="7"/>
  <c r="D63" i="4"/>
  <c r="E29" i="4"/>
  <c r="E28" i="4"/>
  <c r="I15" i="9"/>
  <c r="I13" i="4"/>
  <c r="J22" i="8"/>
  <c r="C19" i="8"/>
  <c r="C22" i="8" s="1"/>
  <c r="C50" i="8"/>
  <c r="C17" i="8"/>
  <c r="C23" i="7"/>
  <c r="C37" i="7" s="1"/>
  <c r="D37" i="7"/>
  <c r="K64" i="8"/>
  <c r="D62" i="4"/>
  <c r="K66" i="8" s="1"/>
  <c r="D3" i="4"/>
  <c r="D5" i="4" s="1"/>
  <c r="K5" i="4"/>
  <c r="J31" i="9"/>
  <c r="J30" i="9"/>
  <c r="F33" i="9"/>
  <c r="C26" i="10"/>
  <c r="C40" i="10" s="1"/>
  <c r="D40" i="10"/>
  <c r="L68" i="8"/>
  <c r="L65" i="8"/>
  <c r="L70" i="8" s="1"/>
  <c r="C2" i="7"/>
  <c r="C16" i="7" s="1"/>
  <c r="K15" i="4"/>
  <c r="K16" i="4"/>
  <c r="F29" i="4"/>
  <c r="F28" i="4"/>
  <c r="I14" i="9"/>
  <c r="I12" i="4"/>
  <c r="I16" i="4" s="1"/>
  <c r="K8" i="4"/>
  <c r="D4" i="4"/>
  <c r="D8" i="4" s="1"/>
  <c r="F5" i="10"/>
  <c r="F19" i="10" s="1"/>
  <c r="I31" i="4"/>
  <c r="F3" i="7"/>
  <c r="F17" i="7" s="1"/>
  <c r="K9" i="9"/>
  <c r="D9" i="9" s="1"/>
  <c r="D10" i="9" s="1"/>
  <c r="D60" i="4"/>
  <c r="D61" i="4"/>
  <c r="D18" i="4"/>
  <c r="C4" i="10"/>
  <c r="C18" i="10" s="1"/>
  <c r="G53" i="10" s="1"/>
  <c r="D18" i="10"/>
  <c r="K7" i="9"/>
  <c r="D5" i="9"/>
  <c r="D7" i="9" s="1"/>
  <c r="K22" i="9"/>
  <c r="K20" i="4"/>
  <c r="J34" i="8"/>
  <c r="C31" i="8"/>
  <c r="C34" i="8" s="1"/>
  <c r="D54" i="8"/>
  <c r="E30" i="4"/>
  <c r="D2" i="4"/>
  <c r="D9" i="4" s="1"/>
  <c r="K9" i="4"/>
  <c r="F32" i="9"/>
  <c r="K68" i="8"/>
  <c r="C63" i="8"/>
  <c r="C68" i="8" s="1"/>
  <c r="E28" i="10"/>
  <c r="E42" i="10" s="1"/>
  <c r="E40" i="10"/>
  <c r="E38" i="7"/>
  <c r="E27" i="7"/>
  <c r="E41" i="7" s="1"/>
  <c r="L71" i="8"/>
  <c r="E5" i="10"/>
  <c r="E3" i="7"/>
  <c r="F31" i="4"/>
  <c r="K18" i="4"/>
  <c r="J53" i="8"/>
  <c r="J58" i="8" s="1"/>
  <c r="E58" i="8"/>
  <c r="J28" i="8"/>
  <c r="C25" i="8"/>
  <c r="C28" i="8" s="1"/>
  <c r="I28" i="9"/>
  <c r="I26" i="4"/>
  <c r="H57" i="8" s="1"/>
  <c r="H62" i="8" s="1"/>
  <c r="I11" i="9"/>
  <c r="K4" i="9"/>
  <c r="C7" i="8"/>
  <c r="C10" i="8" s="1"/>
  <c r="J10" i="8"/>
  <c r="C61" i="9"/>
  <c r="C45" i="9"/>
  <c r="C28" i="9"/>
  <c r="C15" i="9"/>
  <c r="C13" i="4"/>
  <c r="C26" i="4"/>
  <c r="C42" i="4"/>
  <c r="C58" i="4"/>
  <c r="C3" i="7"/>
  <c r="D17" i="7"/>
  <c r="D15" i="4"/>
  <c r="C53" i="8"/>
  <c r="C58" i="8" s="1"/>
  <c r="D58" i="8"/>
  <c r="J49" i="8"/>
  <c r="J16" i="8"/>
  <c r="C13" i="8"/>
  <c r="D63" i="9"/>
  <c r="D64" i="9"/>
  <c r="D7" i="10"/>
  <c r="D5" i="7"/>
  <c r="F31" i="9"/>
  <c r="F30" i="9"/>
  <c r="I54" i="8"/>
  <c r="I59" i="8" s="1"/>
  <c r="J30" i="4"/>
  <c r="I56" i="8" s="1"/>
  <c r="I61" i="8" s="1"/>
  <c r="G5" i="10"/>
  <c r="G19" i="10" s="1"/>
  <c r="J31" i="4"/>
  <c r="G3" i="7"/>
  <c r="G17" i="7" s="1"/>
  <c r="C48" i="10"/>
  <c r="D50" i="10"/>
  <c r="C50" i="10" s="1"/>
  <c r="L67" i="8"/>
  <c r="L72" i="8" s="1"/>
  <c r="L69" i="8"/>
  <c r="E40" i="7"/>
  <c r="E16" i="7"/>
  <c r="H2" i="7"/>
  <c r="H16" i="7" s="1"/>
  <c r="E18" i="10"/>
  <c r="H4" i="10"/>
  <c r="H18" i="10" s="1"/>
  <c r="D19" i="7" l="1"/>
  <c r="E31" i="9"/>
  <c r="E30" i="9"/>
  <c r="E59" i="8"/>
  <c r="D53" i="10"/>
  <c r="D54" i="10"/>
  <c r="D21" i="10"/>
  <c r="H3" i="7"/>
  <c r="E17" i="7"/>
  <c r="H4" i="7"/>
  <c r="H18" i="7" s="1"/>
  <c r="D56" i="8"/>
  <c r="K71" i="8"/>
  <c r="C66" i="8"/>
  <c r="C71" i="8" s="1"/>
  <c r="H55" i="8"/>
  <c r="H60" i="8" s="1"/>
  <c r="I17" i="4"/>
  <c r="K10" i="9"/>
  <c r="K11" i="9" s="1"/>
  <c r="G7" i="10"/>
  <c r="G21" i="10" s="1"/>
  <c r="G5" i="7"/>
  <c r="G19" i="7" s="1"/>
  <c r="C49" i="8"/>
  <c r="C16" i="8"/>
  <c r="C17" i="7"/>
  <c r="I20" i="9"/>
  <c r="I17" i="9"/>
  <c r="K17" i="9" s="1"/>
  <c r="I18" i="9"/>
  <c r="D18" i="9" s="1"/>
  <c r="I19" i="9"/>
  <c r="C27" i="10"/>
  <c r="C41" i="10" s="1"/>
  <c r="D41" i="10"/>
  <c r="H5" i="10"/>
  <c r="E19" i="10"/>
  <c r="H6" i="10"/>
  <c r="H20" i="10" s="1"/>
  <c r="C5" i="10"/>
  <c r="C6" i="10" s="1"/>
  <c r="C20" i="10" s="1"/>
  <c r="K11" i="4"/>
  <c r="K12" i="4"/>
  <c r="K14" i="4"/>
  <c r="D59" i="8"/>
  <c r="F7" i="10"/>
  <c r="F21" i="10" s="1"/>
  <c r="F5" i="7"/>
  <c r="F19" i="7" s="1"/>
  <c r="G49" i="7"/>
  <c r="K69" i="8"/>
  <c r="C64" i="8"/>
  <c r="D29" i="10"/>
  <c r="D26" i="7"/>
  <c r="E33" i="9"/>
  <c r="D20" i="9"/>
  <c r="G54" i="10"/>
  <c r="G50" i="7"/>
  <c r="E7" i="10"/>
  <c r="E5" i="7"/>
  <c r="K31" i="4"/>
  <c r="K27" i="4" s="1"/>
  <c r="D31" i="4"/>
  <c r="C4" i="7"/>
  <c r="C18" i="7" s="1"/>
  <c r="D4" i="9"/>
  <c r="D11" i="9" s="1"/>
  <c r="D14" i="4"/>
  <c r="D11" i="4"/>
  <c r="D27" i="4"/>
  <c r="I28" i="4"/>
  <c r="K28" i="4" s="1"/>
  <c r="K22" i="4" s="1"/>
  <c r="I29" i="4"/>
  <c r="D29" i="4" s="1"/>
  <c r="D16" i="4"/>
  <c r="D12" i="4" s="1"/>
  <c r="D38" i="7"/>
  <c r="C24" i="7"/>
  <c r="C38" i="7" s="1"/>
  <c r="E32" i="9"/>
  <c r="D19" i="9"/>
  <c r="E56" i="8"/>
  <c r="D49" i="7"/>
  <c r="D50" i="7"/>
  <c r="K16" i="9" l="1"/>
  <c r="K13" i="9"/>
  <c r="D61" i="8"/>
  <c r="C28" i="10"/>
  <c r="C42" i="10" s="1"/>
  <c r="K29" i="4"/>
  <c r="K25" i="4" s="1"/>
  <c r="H7" i="10"/>
  <c r="H21" i="10" s="1"/>
  <c r="E21" i="10"/>
  <c r="H8" i="10"/>
  <c r="H22" i="10" s="1"/>
  <c r="H19" i="10"/>
  <c r="I33" i="9"/>
  <c r="K33" i="9" s="1"/>
  <c r="K20" i="9"/>
  <c r="D17" i="9"/>
  <c r="H17" i="7"/>
  <c r="H6" i="7"/>
  <c r="H20" i="7" s="1"/>
  <c r="D28" i="4"/>
  <c r="D22" i="4"/>
  <c r="D25" i="4" s="1"/>
  <c r="H5" i="7"/>
  <c r="H19" i="7" s="1"/>
  <c r="E19" i="7"/>
  <c r="C69" i="8"/>
  <c r="C67" i="8"/>
  <c r="C72" i="8" s="1"/>
  <c r="C65" i="8"/>
  <c r="C70" i="8" s="1"/>
  <c r="D13" i="9"/>
  <c r="D14" i="9"/>
  <c r="D15" i="9"/>
  <c r="D16" i="9"/>
  <c r="D40" i="7"/>
  <c r="C26" i="7"/>
  <c r="C40" i="7" s="1"/>
  <c r="C27" i="7"/>
  <c r="C41" i="7" s="1"/>
  <c r="C19" i="10"/>
  <c r="H53" i="10" s="1"/>
  <c r="C8" i="10"/>
  <c r="C22" i="10" s="1"/>
  <c r="I32" i="9"/>
  <c r="K32" i="9" s="1"/>
  <c r="K19" i="9"/>
  <c r="K28" i="9" s="1"/>
  <c r="C25" i="7"/>
  <c r="C39" i="7" s="1"/>
  <c r="C53" i="10"/>
  <c r="C55" i="10" s="1"/>
  <c r="I53" i="10"/>
  <c r="F53" i="10"/>
  <c r="E61" i="8"/>
  <c r="D43" i="10"/>
  <c r="C29" i="10"/>
  <c r="C43" i="10" s="1"/>
  <c r="C30" i="10"/>
  <c r="C44" i="10" s="1"/>
  <c r="I30" i="9"/>
  <c r="K30" i="9" s="1"/>
  <c r="I31" i="9"/>
  <c r="K31" i="9" s="1"/>
  <c r="K18" i="9"/>
  <c r="K24" i="9" s="1"/>
  <c r="H49" i="7"/>
  <c r="H54" i="8"/>
  <c r="I30" i="4"/>
  <c r="D17" i="4"/>
  <c r="K17" i="4"/>
  <c r="C7" i="10"/>
  <c r="C21" i="10" s="1"/>
  <c r="E53" i="10" s="1"/>
  <c r="D30" i="9"/>
  <c r="D24" i="9" s="1"/>
  <c r="C5" i="7"/>
  <c r="K13" i="4" l="1"/>
  <c r="C19" i="7"/>
  <c r="E49" i="7" s="1"/>
  <c r="C49" i="7" s="1"/>
  <c r="C51" i="7" s="1"/>
  <c r="C73" i="8" s="1"/>
  <c r="C6" i="7"/>
  <c r="C20" i="7" s="1"/>
  <c r="D13" i="4"/>
  <c r="K27" i="9"/>
  <c r="I49" i="7"/>
  <c r="D31" i="9"/>
  <c r="D27" i="9" s="1"/>
  <c r="K15" i="9"/>
  <c r="K14" i="9"/>
  <c r="H56" i="8"/>
  <c r="D30" i="4"/>
  <c r="D26" i="4" s="1"/>
  <c r="K30" i="4"/>
  <c r="K26" i="4" s="1"/>
  <c r="H59" i="8"/>
  <c r="J54" i="8"/>
  <c r="J55" i="8"/>
  <c r="J60" i="8" s="1"/>
  <c r="K29" i="9"/>
  <c r="D33" i="9"/>
  <c r="D29" i="9" s="1"/>
  <c r="D32" i="9"/>
  <c r="D28" i="9" s="1"/>
  <c r="J59" i="8" l="1"/>
  <c r="C54" i="8"/>
  <c r="H61" i="8"/>
  <c r="J56" i="8"/>
  <c r="J57" i="8" s="1"/>
  <c r="J62" i="8" s="1"/>
  <c r="C74" i="8"/>
  <c r="C76" i="8" s="1"/>
  <c r="C77" i="8" s="1"/>
  <c r="C75" i="8"/>
  <c r="F49" i="7"/>
  <c r="C56" i="10" l="1"/>
  <c r="C52" i="7"/>
  <c r="C59" i="8"/>
  <c r="C57" i="8"/>
  <c r="C62" i="8" s="1"/>
  <c r="C55" i="8"/>
  <c r="C60" i="8" s="1"/>
  <c r="J61" i="8"/>
  <c r="C56" i="8"/>
  <c r="C61" i="8" s="1"/>
  <c r="E54" i="10" l="1"/>
  <c r="C54" i="10" s="1"/>
  <c r="E50" i="7"/>
  <c r="C50" i="7" s="1"/>
  <c r="H54" i="10"/>
  <c r="H50" i="7"/>
  <c r="F50" i="7" s="1"/>
  <c r="F54" i="10"/>
  <c r="I54" i="10" l="1"/>
  <c r="I50" i="7"/>
</calcChain>
</file>

<file path=xl/comments1.xml><?xml version="1.0" encoding="utf-8"?>
<comments xmlns="http://schemas.openxmlformats.org/spreadsheetml/2006/main">
  <authors>
    <author>curtist</author>
  </authors>
  <commentList>
    <comment ref="C18" authorId="0" shapeId="0">
      <text>
        <r>
          <rPr>
            <b/>
            <sz val="8"/>
            <color indexed="81"/>
            <rFont val="Tahoma"/>
            <family val="2"/>
          </rPr>
          <t xml:space="preserve">TODO:
</t>
        </r>
        <r>
          <rPr>
            <sz val="8"/>
            <color indexed="81"/>
            <rFont val="Tahoma"/>
            <family val="2"/>
          </rPr>
          <t>Do I need to actually check if the Occupied Units &lt;&gt; 0?  If it does equal zero would the Occupancy Rate be 0?  If this is true, then would it be any different if I copied the Occupancy Rate or recalculated the Total Occupancy Rate?</t>
        </r>
      </text>
    </comment>
    <comment ref="C20" authorId="0" shapeId="0">
      <text>
        <r>
          <rPr>
            <b/>
            <sz val="8"/>
            <color indexed="81"/>
            <rFont val="Tahoma"/>
            <family val="2"/>
          </rPr>
          <t xml:space="preserve">TODO:
</t>
        </r>
        <r>
          <rPr>
            <sz val="8"/>
            <color indexed="81"/>
            <rFont val="Tahoma"/>
            <family val="2"/>
          </rPr>
          <t>Do I need to actually check if the Occupied Units &lt;&gt; 0?  If it does equal zero would the Occupancy Rate be 0?  If this is true, then would it be any different if I copied the PPH or recalculated the Total PPH?</t>
        </r>
      </text>
    </comment>
  </commentList>
</comments>
</file>

<file path=xl/sharedStrings.xml><?xml version="1.0" encoding="utf-8"?>
<sst xmlns="http://schemas.openxmlformats.org/spreadsheetml/2006/main" count="466" uniqueCount="148">
  <si>
    <t>Military</t>
  </si>
  <si>
    <t>Base Pop Estimate</t>
  </si>
  <si>
    <t>Estimate @ Optional Rate</t>
  </si>
  <si>
    <t>Unrounded Estimate</t>
  </si>
  <si>
    <t>Federal Census</t>
  </si>
  <si>
    <t>Nursing</t>
  </si>
  <si>
    <t>Trended Pop Estimate</t>
  </si>
  <si>
    <t>Optional Pop Estimate</t>
  </si>
  <si>
    <t>Frame Housing Totals</t>
  </si>
  <si>
    <t>GROUP QUARTERS</t>
  </si>
  <si>
    <t>4 Units</t>
  </si>
  <si>
    <t xml:space="preserve">   Non-Completed</t>
  </si>
  <si>
    <t>Specials</t>
  </si>
  <si>
    <t>Occupied Units</t>
  </si>
  <si>
    <t>Prior Census (Mobile Homes)</t>
  </si>
  <si>
    <t xml:space="preserve">   Estimated Population</t>
  </si>
  <si>
    <t>Estimate @ Base Rate</t>
  </si>
  <si>
    <t xml:space="preserve">      Trended PPH</t>
  </si>
  <si>
    <t xml:space="preserve">   PPH</t>
  </si>
  <si>
    <t>Selected Other Housing</t>
  </si>
  <si>
    <t xml:space="preserve">      Annexed</t>
  </si>
  <si>
    <t>City Reported Base Year</t>
  </si>
  <si>
    <t xml:space="preserve">   Trended PPH</t>
  </si>
  <si>
    <t>2 Units</t>
  </si>
  <si>
    <t>Annexation</t>
  </si>
  <si>
    <t xml:space="preserve">   Default Population</t>
  </si>
  <si>
    <t xml:space="preserve">   Total Units</t>
  </si>
  <si>
    <t xml:space="preserve">   Federal Census PPH</t>
  </si>
  <si>
    <t xml:space="preserve">   Informal Population Estimate (+)</t>
  </si>
  <si>
    <t>Default Population</t>
  </si>
  <si>
    <t xml:space="preserve">   Base + Annex Occupancy Rate</t>
  </si>
  <si>
    <t>Year</t>
  </si>
  <si>
    <t>Rounded Estimate</t>
  </si>
  <si>
    <t>Population</t>
  </si>
  <si>
    <t xml:space="preserve">   Demolished</t>
  </si>
  <si>
    <t>Adams County</t>
  </si>
  <si>
    <t xml:space="preserve">   Trended Pop Estimate</t>
  </si>
  <si>
    <t>Total Housing</t>
  </si>
  <si>
    <t xml:space="preserve">   Occupied Units</t>
  </si>
  <si>
    <t xml:space="preserve">   Optional Occupancy Rate</t>
  </si>
  <si>
    <t>Correctional</t>
  </si>
  <si>
    <t>Other</t>
  </si>
  <si>
    <t>Other Population Estimate</t>
  </si>
  <si>
    <t>Base + Annexation</t>
  </si>
  <si>
    <t>Base + Net Change</t>
  </si>
  <si>
    <t>City Reported Estimate Year</t>
  </si>
  <si>
    <t>Estimated Housing</t>
  </si>
  <si>
    <t>MOBILE HOMES</t>
  </si>
  <si>
    <t>Annexed Population</t>
  </si>
  <si>
    <t xml:space="preserve">      Annual Retention</t>
  </si>
  <si>
    <t>3/4 Units</t>
  </si>
  <si>
    <t xml:space="preserve">      Demolished</t>
  </si>
  <si>
    <t>Base + Annex Occupancy Rate</t>
  </si>
  <si>
    <t>Prior Census (Frame)</t>
  </si>
  <si>
    <t>&lt;END OF SECTION&gt;</t>
  </si>
  <si>
    <t>Rounding Point</t>
  </si>
  <si>
    <t xml:space="preserve">   Rounded Population Estimate</t>
  </si>
  <si>
    <t>Annexated Housing</t>
  </si>
  <si>
    <t>Trended</t>
  </si>
  <si>
    <t>Informal Population Estimate (+)</t>
  </si>
  <si>
    <t xml:space="preserve">   City Population Estimate</t>
  </si>
  <si>
    <t>2000</t>
  </si>
  <si>
    <t xml:space="preserve">   Estimate @ Optional Rate</t>
  </si>
  <si>
    <t>Remainder</t>
  </si>
  <si>
    <t xml:space="preserve">   Total Population</t>
  </si>
  <si>
    <t>3 Units</t>
  </si>
  <si>
    <t xml:space="preserve">   Permitted</t>
  </si>
  <si>
    <t xml:space="preserve">   Net Change</t>
  </si>
  <si>
    <t>FRAME HOUSING</t>
  </si>
  <si>
    <t>County</t>
  </si>
  <si>
    <t xml:space="preserve">      Completed</t>
  </si>
  <si>
    <t>MOBILE HOMES AND SPECIALS</t>
  </si>
  <si>
    <t>City Population Estimate</t>
  </si>
  <si>
    <t xml:space="preserve">      Net Change</t>
  </si>
  <si>
    <t xml:space="preserve">      Permitted</t>
  </si>
  <si>
    <t>Housing Units</t>
  </si>
  <si>
    <t>Optional Occupancy Rate</t>
  </si>
  <si>
    <t>Frame Housing Estimates</t>
  </si>
  <si>
    <t>1 Unit</t>
  </si>
  <si>
    <t xml:space="preserve">   Estimate @ Base + Annex Rate</t>
  </si>
  <si>
    <t xml:space="preserve">   Base Census</t>
  </si>
  <si>
    <t xml:space="preserve">   Other Population Estimate</t>
  </si>
  <si>
    <t>Optional PPH</t>
  </si>
  <si>
    <t xml:space="preserve">   Federal Census Occupancy Rate</t>
  </si>
  <si>
    <t>Base Census PPH</t>
  </si>
  <si>
    <t xml:space="preserve">   Population</t>
  </si>
  <si>
    <t>2010</t>
  </si>
  <si>
    <t xml:space="preserve">   City Reported Base Year</t>
  </si>
  <si>
    <t xml:space="preserve">   Modification Factor</t>
  </si>
  <si>
    <t>Mobile Homes and Specials Totals</t>
  </si>
  <si>
    <t>Mobile Homes and Specials Estimates</t>
  </si>
  <si>
    <t>Base + Annex PPH</t>
  </si>
  <si>
    <t>Total</t>
  </si>
  <si>
    <t xml:space="preserve">   Base + Annex PPH</t>
  </si>
  <si>
    <t xml:space="preserve">   Optional Pop Estimate</t>
  </si>
  <si>
    <t xml:space="preserve">   Base + Annex Pop Estimate</t>
  </si>
  <si>
    <t>5+ Units</t>
  </si>
  <si>
    <t>HU Population</t>
  </si>
  <si>
    <t>Occupancy Rate</t>
  </si>
  <si>
    <t xml:space="preserve">   Prior Census PPH</t>
  </si>
  <si>
    <t>Base Census Occupancy Rate</t>
  </si>
  <si>
    <t>Mobile Homes</t>
  </si>
  <si>
    <t>Prior Census PPH</t>
  </si>
  <si>
    <t>Occupied Housing</t>
  </si>
  <si>
    <t>Selected City</t>
  </si>
  <si>
    <t xml:space="preserve">   Annual Retention</t>
  </si>
  <si>
    <t>GQ Population</t>
  </si>
  <si>
    <t>City</t>
  </si>
  <si>
    <t xml:space="preserve">      Non-Completed</t>
  </si>
  <si>
    <t>Modification Factor</t>
  </si>
  <si>
    <t xml:space="preserve">   Completed</t>
  </si>
  <si>
    <t xml:space="preserve">   Annexed Population</t>
  </si>
  <si>
    <t>2+ Units</t>
  </si>
  <si>
    <t>Estimated Population</t>
  </si>
  <si>
    <t>2016</t>
  </si>
  <si>
    <t xml:space="preserve">   Optional PPH</t>
  </si>
  <si>
    <t>Ritzville</t>
  </si>
  <si>
    <t xml:space="preserve">   Base Census PPH</t>
  </si>
  <si>
    <t xml:space="preserve">   Base Census Occupancy Rate</t>
  </si>
  <si>
    <t>Federal Census Occupancy Rate</t>
  </si>
  <si>
    <t xml:space="preserve">   Base + Net Change</t>
  </si>
  <si>
    <t>TOTAL POPULATION</t>
  </si>
  <si>
    <t>SPECIALS</t>
  </si>
  <si>
    <t xml:space="preserve">      Modification Factor</t>
  </si>
  <si>
    <t xml:space="preserve">   Annexed</t>
  </si>
  <si>
    <t>&lt;BREAK&gt;</t>
  </si>
  <si>
    <t xml:space="preserve">   Base Pop Estimate</t>
  </si>
  <si>
    <t>MH</t>
  </si>
  <si>
    <t>College</t>
  </si>
  <si>
    <t>Total Population</t>
  </si>
  <si>
    <t xml:space="preserve">   Estimate @ Federal Rate</t>
  </si>
  <si>
    <t>Vacant Housing</t>
  </si>
  <si>
    <t xml:space="preserve">   City Reported Estimate Year</t>
  </si>
  <si>
    <t>Estimate @ Federal Rate</t>
  </si>
  <si>
    <t>Unrounded Population Estimate</t>
  </si>
  <si>
    <t>Base + Annex Pop Estimate</t>
  </si>
  <si>
    <t xml:space="preserve">   Unrounded Population Estimate</t>
  </si>
  <si>
    <t>Estimate @ Base + Annex Rate</t>
  </si>
  <si>
    <t>Current Estimate</t>
  </si>
  <si>
    <t>Rounded Population Estimate</t>
  </si>
  <si>
    <t>Total Units</t>
  </si>
  <si>
    <t xml:space="preserve">   Occupancy Rate</t>
  </si>
  <si>
    <t>Base Census</t>
  </si>
  <si>
    <t>Header</t>
  </si>
  <si>
    <t>Federal Census PPH</t>
  </si>
  <si>
    <t xml:space="preserve">   Estimate @ Base Rate</t>
  </si>
  <si>
    <t>PPH</t>
  </si>
  <si>
    <t>Selection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</si>
</sst>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#,##0.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NumberFormat="1" applyFill="1" applyAlignment="1" applyProtection="1">
      <alignment horizontal="left"/>
      <protection locked="0"/>
    </xf>
    <xf numFmtId="0" fontId="0" fillId="2" borderId="1" xfId="0" applyFill="1" applyBorder="1"/>
    <xf numFmtId="0" fontId="0" fillId="2" borderId="0" xfId="0" applyFont="1" applyFill="1" applyBorder="1" applyProtection="1"/>
    <xf numFmtId="3" fontId="0" fillId="3" borderId="0" xfId="0" applyNumberFormat="1" applyFill="1" applyAlignment="1" applyProtection="1"/>
    <xf numFmtId="3" fontId="0" fillId="0" borderId="0" xfId="0" applyNumberFormat="1" applyFill="1" applyProtection="1">
      <protection locked="0"/>
    </xf>
    <xf numFmtId="0" fontId="0" fillId="3" borderId="2" xfId="0" applyFill="1" applyBorder="1" applyProtection="1"/>
    <xf numFmtId="164" fontId="0" fillId="4" borderId="3" xfId="0" applyNumberFormat="1" applyFill="1" applyBorder="1" applyProtection="1"/>
    <xf numFmtId="0" fontId="0" fillId="2" borderId="4" xfId="0" applyFont="1" applyFill="1" applyBorder="1" applyProtection="1"/>
    <xf numFmtId="3" fontId="0" fillId="2" borderId="0" xfId="0" applyNumberFormat="1" applyFill="1" applyProtection="1"/>
    <xf numFmtId="164" fontId="0" fillId="2" borderId="0" xfId="0" applyNumberFormat="1" applyFill="1" applyBorder="1" applyProtection="1"/>
    <xf numFmtId="0" fontId="0" fillId="4" borderId="5" xfId="0" applyFill="1" applyBorder="1"/>
    <xf numFmtId="3" fontId="0" fillId="0" borderId="0" xfId="0" applyNumberFormat="1" applyFill="1" applyAlignment="1" applyProtection="1">
      <alignment horizontal="left"/>
      <protection locked="0"/>
    </xf>
    <xf numFmtId="49" fontId="0" fillId="0" borderId="0" xfId="0" applyNumberFormat="1" applyFill="1" applyAlignment="1">
      <alignment horizontal="center"/>
    </xf>
    <xf numFmtId="0" fontId="0" fillId="4" borderId="6" xfId="0" applyFont="1" applyFill="1" applyBorder="1"/>
    <xf numFmtId="0" fontId="0" fillId="3" borderId="7" xfId="0" applyFill="1" applyBorder="1"/>
    <xf numFmtId="165" fontId="0" fillId="0" borderId="0" xfId="0" applyNumberFormat="1" applyFill="1" applyAlignment="1" applyProtection="1">
      <alignment horizontal="left"/>
    </xf>
    <xf numFmtId="0" fontId="0" fillId="4" borderId="8" xfId="0" applyFill="1" applyBorder="1" applyProtection="1"/>
    <xf numFmtId="0" fontId="0" fillId="3" borderId="9" xfId="0" applyFill="1" applyBorder="1" applyProtection="1"/>
    <xf numFmtId="164" fontId="0" fillId="2" borderId="0" xfId="0" applyNumberFormat="1" applyFill="1" applyProtection="1"/>
    <xf numFmtId="0" fontId="1" fillId="3" borderId="10" xfId="0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Protection="1"/>
    <xf numFmtId="0" fontId="0" fillId="4" borderId="12" xfId="0" applyFill="1" applyBorder="1"/>
    <xf numFmtId="0" fontId="0" fillId="2" borderId="13" xfId="0" applyFill="1" applyBorder="1"/>
    <xf numFmtId="0" fontId="1" fillId="0" borderId="0" xfId="0" applyFont="1" applyProtection="1"/>
    <xf numFmtId="3" fontId="0" fillId="0" borderId="0" xfId="0" applyNumberFormat="1" applyFont="1" applyFill="1" applyAlignment="1" applyProtection="1">
      <alignment horizontal="left"/>
    </xf>
    <xf numFmtId="164" fontId="0" fillId="0" borderId="0" xfId="0" applyNumberFormat="1" applyFill="1" applyAlignment="1" applyProtection="1">
      <alignment horizontal="left"/>
    </xf>
    <xf numFmtId="0" fontId="0" fillId="0" borderId="14" xfId="0" applyFill="1" applyBorder="1" applyProtection="1">
      <protection locked="0"/>
    </xf>
    <xf numFmtId="3" fontId="0" fillId="5" borderId="15" xfId="0" applyNumberFormat="1" applyFill="1" applyBorder="1"/>
    <xf numFmtId="49" fontId="1" fillId="0" borderId="0" xfId="0" applyNumberFormat="1" applyFont="1" applyProtection="1"/>
    <xf numFmtId="3" fontId="0" fillId="5" borderId="0" xfId="0" applyNumberFormat="1" applyFont="1" applyFill="1" applyAlignment="1" applyProtection="1"/>
    <xf numFmtId="165" fontId="0" fillId="0" borderId="0" xfId="0" applyNumberFormat="1" applyFont="1" applyFill="1" applyAlignment="1" applyProtection="1">
      <alignment horizontal="left"/>
    </xf>
    <xf numFmtId="0" fontId="0" fillId="3" borderId="16" xfId="0" applyFill="1" applyBorder="1" applyProtection="1"/>
    <xf numFmtId="0" fontId="0" fillId="4" borderId="17" xfId="0" applyNumberFormat="1" applyFill="1" applyBorder="1" applyAlignment="1" applyProtection="1">
      <alignment horizontal="left"/>
    </xf>
    <xf numFmtId="0" fontId="0" fillId="2" borderId="0" xfId="0" applyFill="1" applyProtection="1"/>
    <xf numFmtId="164" fontId="0" fillId="4" borderId="6" xfId="0" applyNumberFormat="1" applyFill="1" applyBorder="1" applyProtection="1"/>
    <xf numFmtId="0" fontId="0" fillId="4" borderId="6" xfId="0" applyFill="1" applyBorder="1"/>
    <xf numFmtId="0" fontId="0" fillId="0" borderId="18" xfId="0" applyBorder="1"/>
    <xf numFmtId="0" fontId="0" fillId="4" borderId="14" xfId="0" applyFill="1" applyBorder="1" applyProtection="1"/>
    <xf numFmtId="0" fontId="0" fillId="3" borderId="19" xfId="0" applyFill="1" applyBorder="1"/>
    <xf numFmtId="0" fontId="0" fillId="0" borderId="0" xfId="0" applyNumberFormat="1" applyFill="1" applyAlignment="1" applyProtection="1"/>
    <xf numFmtId="0" fontId="0" fillId="0" borderId="17" xfId="0" applyNumberFormat="1" applyFill="1" applyBorder="1" applyAlignment="1" applyProtection="1">
      <alignment horizontal="left"/>
      <protection locked="0"/>
    </xf>
    <xf numFmtId="3" fontId="0" fillId="5" borderId="20" xfId="0" applyNumberFormat="1" applyFill="1" applyBorder="1"/>
    <xf numFmtId="3" fontId="0" fillId="4" borderId="0" xfId="0" applyNumberFormat="1" applyFont="1" applyFill="1" applyProtection="1"/>
    <xf numFmtId="0" fontId="0" fillId="2" borderId="0" xfId="0" applyFill="1" applyBorder="1" applyProtection="1"/>
    <xf numFmtId="0" fontId="0" fillId="0" borderId="0" xfId="0" applyFill="1" applyAlignment="1" applyProtection="1">
      <alignment horizontal="center"/>
    </xf>
    <xf numFmtId="0" fontId="0" fillId="0" borderId="0" xfId="0" applyNumberFormat="1" applyFont="1" applyFill="1" applyAlignment="1" applyProtection="1">
      <alignment horizontal="left"/>
    </xf>
    <xf numFmtId="0" fontId="0" fillId="2" borderId="22" xfId="0" applyFill="1" applyBorder="1" applyProtection="1">
      <protection locked="0"/>
    </xf>
    <xf numFmtId="0" fontId="0" fillId="4" borderId="23" xfId="0" applyFill="1" applyBorder="1" applyProtection="1"/>
    <xf numFmtId="0" fontId="0" fillId="3" borderId="24" xfId="0" applyFill="1" applyBorder="1" applyProtection="1"/>
    <xf numFmtId="0" fontId="0" fillId="2" borderId="25" xfId="0" applyFont="1" applyFill="1" applyBorder="1" applyProtection="1"/>
    <xf numFmtId="165" fontId="0" fillId="4" borderId="0" xfId="0" applyNumberFormat="1" applyFill="1" applyProtection="1"/>
    <xf numFmtId="0" fontId="0" fillId="5" borderId="12" xfId="0" applyFill="1" applyBorder="1"/>
    <xf numFmtId="3" fontId="0" fillId="4" borderId="0" xfId="0" applyNumberFormat="1" applyFill="1" applyProtection="1"/>
    <xf numFmtId="0" fontId="0" fillId="0" borderId="0" xfId="0" applyNumberFormat="1" applyFill="1"/>
    <xf numFmtId="0" fontId="1" fillId="2" borderId="0" xfId="0" applyNumberFormat="1" applyFont="1" applyFill="1" applyProtection="1"/>
    <xf numFmtId="0" fontId="0" fillId="2" borderId="13" xfId="0" applyFill="1" applyBorder="1" applyProtection="1">
      <protection locked="0"/>
    </xf>
    <xf numFmtId="3" fontId="0" fillId="4" borderId="15" xfId="0" applyNumberFormat="1" applyFill="1" applyBorder="1"/>
    <xf numFmtId="49" fontId="1" fillId="0" borderId="0" xfId="0" applyNumberFormat="1" applyFont="1" applyFill="1" applyProtection="1"/>
    <xf numFmtId="0" fontId="1" fillId="0" borderId="0" xfId="0" applyNumberFormat="1" applyFont="1" applyProtection="1">
      <protection locked="0"/>
    </xf>
    <xf numFmtId="0" fontId="0" fillId="3" borderId="26" xfId="0" applyFill="1" applyBorder="1" applyProtection="1"/>
    <xf numFmtId="164" fontId="0" fillId="4" borderId="0" xfId="0" applyNumberFormat="1" applyFill="1" applyProtection="1"/>
    <xf numFmtId="0" fontId="0" fillId="0" borderId="21" xfId="0" applyNumberFormat="1" applyBorder="1" applyAlignment="1" applyProtection="1">
      <alignment horizontal="left"/>
      <protection locked="0"/>
    </xf>
    <xf numFmtId="3" fontId="0" fillId="4" borderId="20" xfId="0" applyNumberFormat="1" applyFill="1" applyBorder="1"/>
    <xf numFmtId="0" fontId="0" fillId="4" borderId="3" xfId="0" applyFill="1" applyBorder="1"/>
    <xf numFmtId="0" fontId="0" fillId="2" borderId="28" xfId="0" applyFont="1" applyFill="1" applyBorder="1" applyProtection="1"/>
    <xf numFmtId="3" fontId="0" fillId="5" borderId="0" xfId="0" applyNumberFormat="1" applyFill="1" applyProtection="1"/>
    <xf numFmtId="49" fontId="1" fillId="0" borderId="0" xfId="0" applyNumberFormat="1" applyFont="1" applyFill="1" applyAlignment="1" applyProtection="1">
      <alignment horizontal="left"/>
    </xf>
    <xf numFmtId="0" fontId="0" fillId="5" borderId="7" xfId="0" applyFill="1" applyBorder="1"/>
    <xf numFmtId="0" fontId="0" fillId="4" borderId="19" xfId="0" applyFill="1" applyBorder="1"/>
    <xf numFmtId="49" fontId="0" fillId="0" borderId="0" xfId="0" applyNumberFormat="1" applyFill="1" applyAlignment="1" applyProtection="1">
      <alignment horizontal="left"/>
    </xf>
    <xf numFmtId="0" fontId="0" fillId="0" borderId="0" xfId="0" applyAlignment="1">
      <alignment horizontal="center"/>
    </xf>
    <xf numFmtId="3" fontId="0" fillId="4" borderId="29" xfId="0" applyNumberFormat="1" applyFill="1" applyBorder="1"/>
    <xf numFmtId="0" fontId="0" fillId="2" borderId="0" xfId="0" applyNumberFormat="1" applyFill="1" applyAlignment="1" applyProtection="1">
      <alignment horizontal="left"/>
    </xf>
    <xf numFmtId="0" fontId="0" fillId="6" borderId="0" xfId="0" applyFill="1" applyBorder="1" applyAlignment="1" applyProtection="1">
      <alignment horizontal="left"/>
    </xf>
    <xf numFmtId="0" fontId="0" fillId="2" borderId="30" xfId="0" applyFont="1" applyFill="1" applyBorder="1"/>
    <xf numFmtId="49" fontId="1" fillId="0" borderId="0" xfId="0" applyNumberFormat="1" applyFont="1" applyProtection="1">
      <protection locked="0"/>
    </xf>
    <xf numFmtId="164" fontId="0" fillId="5" borderId="0" xfId="0" applyNumberFormat="1" applyFill="1" applyProtection="1"/>
    <xf numFmtId="0" fontId="0" fillId="4" borderId="18" xfId="0" applyFill="1" applyBorder="1" applyProtection="1"/>
    <xf numFmtId="3" fontId="0" fillId="0" borderId="0" xfId="0" applyNumberFormat="1"/>
    <xf numFmtId="49" fontId="0" fillId="0" borderId="0" xfId="0" applyNumberFormat="1" applyFill="1"/>
    <xf numFmtId="0" fontId="0" fillId="6" borderId="0" xfId="0" applyNumberFormat="1" applyFill="1" applyAlignment="1" applyProtection="1">
      <alignment horizontal="left"/>
    </xf>
    <xf numFmtId="0" fontId="0" fillId="2" borderId="31" xfId="0" applyFont="1" applyFill="1" applyBorder="1"/>
    <xf numFmtId="3" fontId="0" fillId="5" borderId="12" xfId="0" applyNumberFormat="1" applyFill="1" applyBorder="1"/>
    <xf numFmtId="0" fontId="0" fillId="4" borderId="32" xfId="0" applyFill="1" applyBorder="1"/>
    <xf numFmtId="0" fontId="0" fillId="0" borderId="0" xfId="0" applyFill="1" applyProtection="1"/>
    <xf numFmtId="3" fontId="0" fillId="3" borderId="0" xfId="0" applyNumberFormat="1" applyFill="1" applyProtection="1"/>
    <xf numFmtId="49" fontId="1" fillId="0" borderId="0" xfId="0" applyNumberFormat="1" applyFont="1" applyAlignment="1" applyProtection="1">
      <alignment horizontal="left"/>
    </xf>
    <xf numFmtId="0" fontId="0" fillId="0" borderId="12" xfId="0" applyFill="1" applyBorder="1" applyProtection="1">
      <protection locked="0"/>
    </xf>
    <xf numFmtId="3" fontId="0" fillId="6" borderId="0" xfId="0" applyNumberFormat="1" applyFill="1" applyAlignment="1" applyProtection="1">
      <alignment horizontal="left"/>
    </xf>
    <xf numFmtId="0" fontId="0" fillId="3" borderId="33" xfId="0" applyFill="1" applyBorder="1" applyProtection="1"/>
    <xf numFmtId="3" fontId="0" fillId="4" borderId="6" xfId="0" applyNumberFormat="1" applyFill="1" applyBorder="1"/>
    <xf numFmtId="0" fontId="0" fillId="4" borderId="12" xfId="0" applyFill="1" applyBorder="1" applyProtection="1"/>
    <xf numFmtId="0" fontId="0" fillId="2" borderId="13" xfId="0" applyFill="1" applyBorder="1" applyProtection="1"/>
    <xf numFmtId="164" fontId="0" fillId="4" borderId="23" xfId="0" applyNumberFormat="1" applyFill="1" applyBorder="1" applyProtection="1"/>
    <xf numFmtId="49" fontId="1" fillId="0" borderId="0" xfId="0" applyNumberFormat="1" applyFont="1" applyFill="1" applyProtection="1">
      <protection locked="0"/>
    </xf>
    <xf numFmtId="0" fontId="0" fillId="2" borderId="35" xfId="0" applyFont="1" applyFill="1" applyBorder="1"/>
    <xf numFmtId="3" fontId="0" fillId="2" borderId="0" xfId="0" applyNumberFormat="1" applyFill="1" applyAlignment="1" applyProtection="1"/>
    <xf numFmtId="49" fontId="0" fillId="0" borderId="0" xfId="0" applyNumberFormat="1"/>
    <xf numFmtId="0" fontId="0" fillId="0" borderId="36" xfId="0" applyNumberFormat="1" applyFill="1" applyBorder="1" applyAlignment="1" applyProtection="1">
      <alignment horizontal="left"/>
      <protection locked="0"/>
    </xf>
    <xf numFmtId="0" fontId="0" fillId="0" borderId="17" xfId="0" applyNumberFormat="1" applyBorder="1" applyAlignment="1" applyProtection="1">
      <alignment horizontal="left"/>
      <protection locked="0"/>
    </xf>
    <xf numFmtId="0" fontId="0" fillId="2" borderId="8" xfId="0" applyFill="1" applyBorder="1" applyProtection="1">
      <protection locked="0"/>
    </xf>
    <xf numFmtId="3" fontId="0" fillId="4" borderId="12" xfId="0" applyNumberFormat="1" applyFill="1" applyBorder="1"/>
    <xf numFmtId="0" fontId="0" fillId="2" borderId="0" xfId="0" applyFont="1" applyFill="1" applyBorder="1"/>
    <xf numFmtId="0" fontId="0" fillId="4" borderId="6" xfId="0" applyFill="1" applyBorder="1" applyProtection="1"/>
    <xf numFmtId="0" fontId="0" fillId="2" borderId="30" xfId="0" applyFill="1" applyBorder="1"/>
    <xf numFmtId="164" fontId="0" fillId="0" borderId="0" xfId="0" applyNumberFormat="1" applyProtection="1">
      <protection locked="0"/>
    </xf>
    <xf numFmtId="0" fontId="0" fillId="2" borderId="37" xfId="0" applyFill="1" applyBorder="1" applyProtection="1">
      <protection locked="0"/>
    </xf>
    <xf numFmtId="0" fontId="0" fillId="3" borderId="24" xfId="0" applyFill="1" applyBorder="1"/>
    <xf numFmtId="49" fontId="0" fillId="0" borderId="0" xfId="0" applyNumberFormat="1" applyFill="1" applyAlignment="1" applyProtection="1">
      <alignment horizontal="center"/>
    </xf>
    <xf numFmtId="0" fontId="0" fillId="2" borderId="38" xfId="0" applyFont="1" applyFill="1" applyBorder="1" applyProtection="1"/>
    <xf numFmtId="0" fontId="0" fillId="3" borderId="7" xfId="0" applyFill="1" applyBorder="1" applyProtection="1"/>
    <xf numFmtId="0" fontId="0" fillId="2" borderId="31" xfId="0" applyFill="1" applyBorder="1"/>
    <xf numFmtId="0" fontId="0" fillId="4" borderId="40" xfId="0" applyFill="1" applyBorder="1"/>
    <xf numFmtId="0" fontId="0" fillId="2" borderId="4" xfId="0" applyFill="1" applyBorder="1"/>
    <xf numFmtId="3" fontId="0" fillId="4" borderId="41" xfId="0" applyNumberFormat="1" applyFill="1" applyBorder="1"/>
    <xf numFmtId="49" fontId="1" fillId="0" borderId="0" xfId="0" applyNumberFormat="1" applyFont="1" applyAlignment="1" applyProtection="1"/>
    <xf numFmtId="49" fontId="1" fillId="3" borderId="0" xfId="0" applyNumberFormat="1" applyFont="1" applyFill="1" applyProtection="1"/>
    <xf numFmtId="0" fontId="0" fillId="2" borderId="43" xfId="0" applyFill="1" applyBorder="1"/>
    <xf numFmtId="0" fontId="1" fillId="0" borderId="0" xfId="0" applyNumberFormat="1" applyFont="1" applyAlignment="1" applyProtection="1">
      <alignment horizontal="center"/>
      <protection locked="0"/>
    </xf>
    <xf numFmtId="0" fontId="0" fillId="6" borderId="0" xfId="0" applyFill="1" applyAlignment="1" applyProtection="1">
      <alignment horizontal="left"/>
    </xf>
    <xf numFmtId="0" fontId="0" fillId="2" borderId="44" xfId="0" applyFill="1" applyBorder="1"/>
    <xf numFmtId="0" fontId="0" fillId="0" borderId="0" xfId="0" applyNumberFormat="1" applyFill="1" applyAlignment="1" applyProtection="1">
      <alignment horizontal="left"/>
    </xf>
    <xf numFmtId="0" fontId="0" fillId="2" borderId="28" xfId="0" applyFill="1" applyBorder="1"/>
    <xf numFmtId="3" fontId="0" fillId="0" borderId="0" xfId="0" applyNumberFormat="1" applyFill="1" applyProtection="1"/>
    <xf numFmtId="0" fontId="0" fillId="2" borderId="38" xfId="0" applyFill="1" applyBorder="1"/>
    <xf numFmtId="0" fontId="0" fillId="2" borderId="46" xfId="0" applyFill="1" applyBorder="1"/>
    <xf numFmtId="0" fontId="0" fillId="3" borderId="47" xfId="0" applyFont="1" applyFill="1" applyBorder="1" applyProtection="1"/>
    <xf numFmtId="0" fontId="0" fillId="2" borderId="35" xfId="0" applyFill="1" applyBorder="1"/>
    <xf numFmtId="165" fontId="0" fillId="4" borderId="0" xfId="0" applyNumberFormat="1" applyFill="1" applyAlignment="1" applyProtection="1"/>
    <xf numFmtId="0" fontId="0" fillId="3" borderId="19" xfId="0" applyFill="1" applyBorder="1" applyProtection="1"/>
    <xf numFmtId="0" fontId="1" fillId="2" borderId="0" xfId="0" applyNumberFormat="1" applyFont="1" applyFill="1" applyAlignment="1" applyProtection="1"/>
    <xf numFmtId="3" fontId="0" fillId="4" borderId="0" xfId="0" applyNumberFormat="1" applyFill="1" applyAlignment="1" applyProtection="1"/>
    <xf numFmtId="164" fontId="0" fillId="0" borderId="0" xfId="0" applyNumberFormat="1" applyFill="1" applyProtection="1"/>
    <xf numFmtId="3" fontId="0" fillId="0" borderId="0" xfId="0" applyNumberFormat="1" applyFill="1" applyAlignment="1" applyProtection="1">
      <alignment horizontal="left"/>
    </xf>
    <xf numFmtId="0" fontId="0" fillId="5" borderId="40" xfId="0" applyFill="1" applyBorder="1"/>
    <xf numFmtId="0" fontId="0" fillId="2" borderId="16" xfId="0" applyFont="1" applyFill="1" applyBorder="1"/>
    <xf numFmtId="0" fontId="0" fillId="2" borderId="0" xfId="0" applyFill="1" applyBorder="1"/>
    <xf numFmtId="0" fontId="1" fillId="0" borderId="0" xfId="0" applyNumberFormat="1" applyFont="1" applyAlignment="1" applyProtection="1">
      <protection locked="0"/>
    </xf>
    <xf numFmtId="0" fontId="0" fillId="3" borderId="0" xfId="0" applyNumberFormat="1" applyFont="1" applyFill="1" applyAlignment="1" applyProtection="1">
      <alignment horizontal="left"/>
    </xf>
    <xf numFmtId="49" fontId="1" fillId="0" borderId="0" xfId="0" applyNumberFormat="1" applyFont="1" applyFill="1" applyAlignment="1" applyProtection="1"/>
    <xf numFmtId="0" fontId="0" fillId="0" borderId="0" xfId="0" applyFill="1" applyAlignment="1">
      <alignment horizontal="center"/>
    </xf>
    <xf numFmtId="0" fontId="0" fillId="0" borderId="0" xfId="0" applyFont="1"/>
    <xf numFmtId="0" fontId="1" fillId="3" borderId="10" xfId="0" applyFont="1" applyFill="1" applyBorder="1" applyAlignment="1" applyProtection="1">
      <alignment horizontal="center"/>
    </xf>
    <xf numFmtId="0" fontId="0" fillId="2" borderId="25" xfId="0" applyFont="1" applyFill="1" applyBorder="1"/>
    <xf numFmtId="0" fontId="0" fillId="2" borderId="41" xfId="0" applyFill="1" applyBorder="1"/>
    <xf numFmtId="3" fontId="0" fillId="4" borderId="26" xfId="0" applyNumberFormat="1" applyFill="1" applyBorder="1"/>
    <xf numFmtId="164" fontId="0" fillId="4" borderId="0" xfId="0" applyNumberFormat="1" applyFill="1" applyAlignment="1" applyProtection="1"/>
    <xf numFmtId="0" fontId="0" fillId="4" borderId="24" xfId="0" applyFill="1" applyBorder="1"/>
    <xf numFmtId="3" fontId="0" fillId="0" borderId="0" xfId="0" applyNumberFormat="1" applyProtection="1"/>
    <xf numFmtId="49" fontId="0" fillId="0" borderId="0" xfId="0" applyNumberFormat="1" applyFill="1" applyProtection="1"/>
    <xf numFmtId="0" fontId="0" fillId="0" borderId="45" xfId="0" applyNumberFormat="1" applyBorder="1" applyAlignment="1" applyProtection="1">
      <alignment horizontal="left"/>
      <protection locked="0"/>
    </xf>
    <xf numFmtId="0" fontId="0" fillId="2" borderId="31" xfId="0" applyFont="1" applyFill="1" applyBorder="1" applyProtection="1"/>
    <xf numFmtId="0" fontId="0" fillId="0" borderId="0" xfId="0" applyNumberFormat="1" applyAlignment="1" applyProtection="1">
      <alignment horizontal="left"/>
      <protection locked="0"/>
    </xf>
    <xf numFmtId="49" fontId="1" fillId="0" borderId="0" xfId="0" applyNumberFormat="1" applyFont="1" applyFill="1"/>
    <xf numFmtId="164" fontId="0" fillId="0" borderId="0" xfId="0" applyNumberFormat="1" applyFill="1" applyAlignment="1" applyProtection="1">
      <alignment horizontal="left"/>
      <protection locked="0"/>
    </xf>
    <xf numFmtId="164" fontId="0" fillId="6" borderId="0" xfId="0" applyNumberFormat="1" applyFill="1" applyAlignment="1" applyProtection="1">
      <alignment horizontal="left"/>
    </xf>
    <xf numFmtId="0" fontId="0" fillId="0" borderId="0" xfId="0" applyProtection="1"/>
    <xf numFmtId="165" fontId="0" fillId="5" borderId="0" xfId="0" applyNumberFormat="1" applyFill="1" applyAlignment="1" applyProtection="1"/>
    <xf numFmtId="0" fontId="0" fillId="0" borderId="0" xfId="0" applyFill="1"/>
    <xf numFmtId="0" fontId="0" fillId="2" borderId="47" xfId="0" applyFill="1" applyBorder="1"/>
    <xf numFmtId="0" fontId="0" fillId="2" borderId="48" xfId="0" applyFill="1" applyBorder="1"/>
    <xf numFmtId="0" fontId="0" fillId="5" borderId="14" xfId="0" applyFill="1" applyBorder="1"/>
    <xf numFmtId="0" fontId="0" fillId="4" borderId="26" xfId="0" applyFill="1" applyBorder="1"/>
    <xf numFmtId="3" fontId="0" fillId="5" borderId="0" xfId="0" applyNumberFormat="1" applyFill="1" applyAlignment="1" applyProtection="1"/>
    <xf numFmtId="0" fontId="0" fillId="2" borderId="37" xfId="0" applyFill="1" applyBorder="1" applyProtection="1"/>
    <xf numFmtId="0" fontId="0" fillId="3" borderId="7" xfId="0" applyFont="1" applyFill="1" applyBorder="1" applyProtection="1"/>
    <xf numFmtId="0" fontId="0" fillId="2" borderId="1" xfId="0" applyFont="1" applyFill="1" applyBorder="1" applyProtection="1"/>
    <xf numFmtId="165" fontId="0" fillId="4" borderId="0" xfId="0" applyNumberFormat="1" applyFont="1" applyFill="1" applyProtection="1"/>
    <xf numFmtId="0" fontId="0" fillId="2" borderId="43" xfId="0" applyFont="1" applyFill="1" applyBorder="1"/>
    <xf numFmtId="49" fontId="0" fillId="0" borderId="0" xfId="0" applyNumberFormat="1" applyAlignment="1">
      <alignment horizontal="center"/>
    </xf>
    <xf numFmtId="0" fontId="0" fillId="0" borderId="0" xfId="0" applyFill="1" applyAlignment="1" applyProtection="1"/>
    <xf numFmtId="164" fontId="0" fillId="5" borderId="0" xfId="0" applyNumberFormat="1" applyFill="1" applyAlignment="1" applyProtection="1"/>
    <xf numFmtId="0" fontId="0" fillId="0" borderId="0" xfId="0" applyFill="1" applyAlignment="1" applyProtection="1">
      <alignment horizontal="left"/>
    </xf>
    <xf numFmtId="0" fontId="0" fillId="2" borderId="28" xfId="0" applyFont="1" applyFill="1" applyBorder="1"/>
    <xf numFmtId="0" fontId="0" fillId="2" borderId="49" xfId="0" applyFill="1" applyBorder="1"/>
    <xf numFmtId="0" fontId="0" fillId="5" borderId="24" xfId="0" applyFill="1" applyBorder="1"/>
    <xf numFmtId="49" fontId="0" fillId="0" borderId="0" xfId="0" applyNumberFormat="1" applyProtection="1"/>
    <xf numFmtId="0" fontId="0" fillId="3" borderId="0" xfId="0" applyNumberFormat="1" applyFill="1" applyAlignment="1" applyProtection="1">
      <alignment horizontal="left"/>
    </xf>
    <xf numFmtId="0" fontId="0" fillId="2" borderId="0" xfId="0" applyNumberFormat="1" applyFill="1" applyProtection="1"/>
    <xf numFmtId="49" fontId="1" fillId="0" borderId="0" xfId="0" applyNumberFormat="1" applyFont="1" applyFill="1" applyProtection="1"/>
    <xf numFmtId="0" fontId="1" fillId="3" borderId="39" xfId="0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1" fillId="3" borderId="34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0" fontId="1" fillId="3" borderId="27" xfId="0" applyFont="1" applyFill="1" applyBorder="1" applyAlignment="1" applyProtection="1">
      <alignment horizontal="center" vertical="center" wrapText="1"/>
    </xf>
    <xf numFmtId="0" fontId="1" fillId="3" borderId="34" xfId="0" applyFont="1" applyFill="1" applyBorder="1" applyAlignment="1" applyProtection="1">
      <alignment horizontal="center" vertical="center" wrapText="1"/>
    </xf>
    <xf numFmtId="0" fontId="1" fillId="3" borderId="39" xfId="0" applyFont="1" applyFill="1" applyBorder="1" applyAlignment="1" applyProtection="1">
      <alignment horizontal="center" vertical="center" wrapText="1"/>
    </xf>
    <xf numFmtId="49" fontId="1" fillId="0" borderId="28" xfId="0" applyNumberFormat="1" applyFont="1" applyFill="1" applyBorder="1" applyProtection="1"/>
    <xf numFmtId="0" fontId="1" fillId="3" borderId="17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49" fontId="1" fillId="0" borderId="0" xfId="0" applyNumberFormat="1" applyFont="1" applyFill="1" applyProtection="1">
      <protection locked="0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showFormulas="1" zoomScale="55" zoomScaleNormal="55" zoomScaleSheetLayoutView="100" workbookViewId="0">
      <selection activeCell="D49" sqref="D49"/>
    </sheetView>
  </sheetViews>
  <sheetFormatPr defaultColWidth="4.7109375" defaultRowHeight="15" x14ac:dyDescent="0.25"/>
  <cols>
    <col min="1" max="1" width="5.85546875" style="54" customWidth="1"/>
    <col min="2" max="2" width="24.28515625" style="159" customWidth="1"/>
    <col min="3" max="3" width="10" style="159" customWidth="1"/>
    <col min="4" max="4" width="54.42578125" style="159" customWidth="1"/>
    <col min="5" max="5" width="54.5703125" style="159" customWidth="1"/>
    <col min="6" max="6" width="54.140625" style="159" customWidth="1"/>
    <col min="7" max="7" width="7.5703125" style="159" customWidth="1"/>
    <col min="8" max="8" width="5.7109375" style="159" customWidth="1"/>
    <col min="9" max="9" width="39.42578125" style="159" customWidth="1"/>
    <col min="10" max="10" width="38.85546875" style="159" customWidth="1"/>
    <col min="11" max="11" width="46.7109375" style="159" customWidth="1"/>
    <col min="12" max="16384" width="4.7109375" style="159"/>
  </cols>
  <sheetData>
    <row r="1" spans="1:11" s="98" customFormat="1" x14ac:dyDescent="0.25">
      <c r="A1" s="59" t="s">
        <v>147</v>
      </c>
      <c r="B1" s="76" t="s">
        <v>143</v>
      </c>
      <c r="C1" s="29" t="s">
        <v>31</v>
      </c>
      <c r="D1" s="29" t="s">
        <v>92</v>
      </c>
      <c r="E1" s="29" t="s">
        <v>78</v>
      </c>
      <c r="F1" s="29" t="s">
        <v>23</v>
      </c>
      <c r="G1" s="29" t="s">
        <v>65</v>
      </c>
      <c r="H1" s="29" t="s">
        <v>10</v>
      </c>
      <c r="I1" s="29" t="s">
        <v>50</v>
      </c>
      <c r="J1" s="29" t="s">
        <v>96</v>
      </c>
      <c r="K1" s="29" t="s">
        <v>112</v>
      </c>
    </row>
    <row r="2" spans="1:11" x14ac:dyDescent="0.25">
      <c r="A2" s="55"/>
      <c r="B2" s="117" t="s">
        <v>142</v>
      </c>
      <c r="C2" s="178" t="str">
        <f>Calculations!$C$12</f>
        <v>2010</v>
      </c>
      <c r="D2" s="53">
        <f>E2+K2</f>
        <v>817</v>
      </c>
      <c r="E2" s="86">
        <v>685</v>
      </c>
      <c r="F2" s="86">
        <v>18</v>
      </c>
      <c r="G2" s="86">
        <v>33</v>
      </c>
      <c r="H2" s="86">
        <v>0</v>
      </c>
      <c r="I2" s="53">
        <f>G2+H2</f>
        <v>33</v>
      </c>
      <c r="J2" s="86">
        <v>81</v>
      </c>
      <c r="K2" s="53">
        <f>F2+I2+J2</f>
        <v>132</v>
      </c>
    </row>
    <row r="3" spans="1:11" x14ac:dyDescent="0.25">
      <c r="A3" s="55"/>
      <c r="B3" s="117" t="s">
        <v>66</v>
      </c>
      <c r="C3" s="178" t="str">
        <f>Calculations!$C$5</f>
        <v>2010-16</v>
      </c>
      <c r="D3" s="53">
        <f>E3+K3</f>
        <v>1</v>
      </c>
      <c r="E3" s="86">
        <v>1</v>
      </c>
      <c r="F3" s="86">
        <v>0</v>
      </c>
      <c r="G3" s="86">
        <v>0</v>
      </c>
      <c r="H3" s="86">
        <v>0</v>
      </c>
      <c r="I3" s="53">
        <f>G3+H3</f>
        <v>0</v>
      </c>
      <c r="J3" s="86">
        <v>0</v>
      </c>
      <c r="K3" s="53">
        <f>F3+I3+J3</f>
        <v>0</v>
      </c>
    </row>
    <row r="4" spans="1:11" x14ac:dyDescent="0.25">
      <c r="A4" s="55"/>
      <c r="B4" s="117" t="s">
        <v>110</v>
      </c>
      <c r="C4" s="178" t="str">
        <f>Calculations!$C$5</f>
        <v>2010-16</v>
      </c>
      <c r="D4" s="53">
        <f>E4+K4</f>
        <v>1</v>
      </c>
      <c r="E4" s="86">
        <v>1</v>
      </c>
      <c r="F4" s="86">
        <v>0</v>
      </c>
      <c r="G4" s="86">
        <v>0</v>
      </c>
      <c r="H4" s="86">
        <v>0</v>
      </c>
      <c r="I4" s="53">
        <f>G4+H4</f>
        <v>0</v>
      </c>
      <c r="J4" s="86">
        <v>0</v>
      </c>
      <c r="K4" s="53">
        <f>F4+I4+J4</f>
        <v>0</v>
      </c>
    </row>
    <row r="5" spans="1:11" x14ac:dyDescent="0.25">
      <c r="A5" s="55"/>
      <c r="B5" s="117" t="s">
        <v>11</v>
      </c>
      <c r="C5" s="178" t="str">
        <f>Calculations!$C$5</f>
        <v>2010-16</v>
      </c>
      <c r="D5" s="53">
        <f t="shared" ref="D5:K5" si="0">D3-D4</f>
        <v>0</v>
      </c>
      <c r="E5" s="53">
        <f t="shared" si="0"/>
        <v>0</v>
      </c>
      <c r="F5" s="53">
        <f t="shared" si="0"/>
        <v>0</v>
      </c>
      <c r="G5" s="53">
        <f t="shared" si="0"/>
        <v>0</v>
      </c>
      <c r="H5" s="53">
        <f t="shared" si="0"/>
        <v>0</v>
      </c>
      <c r="I5" s="53">
        <f t="shared" si="0"/>
        <v>0</v>
      </c>
      <c r="J5" s="53">
        <f t="shared" si="0"/>
        <v>0</v>
      </c>
      <c r="K5" s="53">
        <f t="shared" si="0"/>
        <v>0</v>
      </c>
    </row>
    <row r="6" spans="1:11" x14ac:dyDescent="0.25">
      <c r="A6" s="55"/>
      <c r="B6" s="117" t="s">
        <v>34</v>
      </c>
      <c r="C6" s="178" t="str">
        <f>Calculations!$C$5</f>
        <v>2010-16</v>
      </c>
      <c r="D6" s="53">
        <f>E6+K6</f>
        <v>3</v>
      </c>
      <c r="E6" s="86">
        <v>3</v>
      </c>
      <c r="F6" s="86">
        <v>0</v>
      </c>
      <c r="G6" s="86">
        <v>0</v>
      </c>
      <c r="H6" s="86">
        <v>0</v>
      </c>
      <c r="I6" s="53">
        <f>G6+H6</f>
        <v>0</v>
      </c>
      <c r="J6" s="86">
        <v>0</v>
      </c>
      <c r="K6" s="53">
        <f>F6+I6+J6</f>
        <v>0</v>
      </c>
    </row>
    <row r="7" spans="1:11" x14ac:dyDescent="0.25">
      <c r="A7" s="55"/>
      <c r="B7" s="117" t="s">
        <v>124</v>
      </c>
      <c r="C7" s="178" t="str">
        <f>Calculations!$C$42</f>
        <v>2010-15</v>
      </c>
      <c r="D7" s="53">
        <f>E7+K7</f>
        <v>0</v>
      </c>
      <c r="E7" s="86">
        <v>0</v>
      </c>
      <c r="F7" s="86">
        <v>0</v>
      </c>
      <c r="G7" s="86">
        <v>0</v>
      </c>
      <c r="H7" s="86">
        <v>0</v>
      </c>
      <c r="I7" s="53">
        <f>G7+H7</f>
        <v>0</v>
      </c>
      <c r="J7" s="86">
        <v>0</v>
      </c>
      <c r="K7" s="53">
        <f>F7+I7+J7</f>
        <v>0</v>
      </c>
    </row>
    <row r="8" spans="1:11" x14ac:dyDescent="0.25">
      <c r="A8" s="55"/>
      <c r="B8" s="117" t="s">
        <v>67</v>
      </c>
      <c r="C8" s="139" t="str">
        <f>Calculations!$C$5</f>
        <v>2010-16</v>
      </c>
      <c r="D8" s="53">
        <f t="shared" ref="D8:K8" si="1">D4-D6+D7</f>
        <v>-2</v>
      </c>
      <c r="E8" s="43">
        <f t="shared" si="1"/>
        <v>-2</v>
      </c>
      <c r="F8" s="53">
        <f t="shared" si="1"/>
        <v>0</v>
      </c>
      <c r="G8" s="53">
        <f t="shared" si="1"/>
        <v>0</v>
      </c>
      <c r="H8" s="53">
        <f t="shared" si="1"/>
        <v>0</v>
      </c>
      <c r="I8" s="53">
        <f t="shared" si="1"/>
        <v>0</v>
      </c>
      <c r="J8" s="53">
        <f t="shared" si="1"/>
        <v>0</v>
      </c>
      <c r="K8" s="53">
        <f t="shared" si="1"/>
        <v>0</v>
      </c>
    </row>
    <row r="9" spans="1:11" x14ac:dyDescent="0.25">
      <c r="A9" s="55"/>
      <c r="B9" s="117" t="s">
        <v>44</v>
      </c>
      <c r="C9" s="178" t="str">
        <f>Calculations!$C$2</f>
        <v>2016</v>
      </c>
      <c r="D9" s="53">
        <f t="shared" ref="D9:K9" si="2">D2+D8</f>
        <v>815</v>
      </c>
      <c r="E9" s="53">
        <f t="shared" si="2"/>
        <v>683</v>
      </c>
      <c r="F9" s="53">
        <f t="shared" si="2"/>
        <v>18</v>
      </c>
      <c r="G9" s="53">
        <f t="shared" si="2"/>
        <v>33</v>
      </c>
      <c r="H9" s="53">
        <f t="shared" si="2"/>
        <v>0</v>
      </c>
      <c r="I9" s="53">
        <f t="shared" si="2"/>
        <v>33</v>
      </c>
      <c r="J9" s="53">
        <f t="shared" si="2"/>
        <v>81</v>
      </c>
      <c r="K9" s="53">
        <f t="shared" si="2"/>
        <v>132</v>
      </c>
    </row>
    <row r="10" spans="1:11" x14ac:dyDescent="0.25">
      <c r="A10" s="180" t="s">
        <v>125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</row>
    <row r="11" spans="1:11" x14ac:dyDescent="0.25">
      <c r="A11" s="55"/>
      <c r="B11" s="117" t="s">
        <v>119</v>
      </c>
      <c r="C11" s="178" t="str">
        <f>Calculations!$C$6</f>
        <v>2010</v>
      </c>
      <c r="D11" s="61">
        <f>ROUND(IF(D$9&lt;&gt;0, D15/D$9, 0), 6)</f>
        <v>0.82576700000000003</v>
      </c>
      <c r="E11" s="77">
        <f>Calculations!D10</f>
        <v>0.84087599999999996</v>
      </c>
      <c r="F11" s="77">
        <f>Calculations!E10</f>
        <v>0.77777799999999997</v>
      </c>
      <c r="G11" s="34"/>
      <c r="H11" s="34"/>
      <c r="I11" s="77">
        <f>Calculations!H10</f>
        <v>0.66666700000000001</v>
      </c>
      <c r="J11" s="77">
        <f>Calculations!I10</f>
        <v>0.77777799999999997</v>
      </c>
      <c r="K11" s="61">
        <f>ROUND(IF(K$9&lt;&gt;0, K15/K$9, 0), 6)</f>
        <v>0.75</v>
      </c>
    </row>
    <row r="12" spans="1:11" x14ac:dyDescent="0.25">
      <c r="A12" s="55"/>
      <c r="B12" s="117" t="s">
        <v>100</v>
      </c>
      <c r="C12" s="178" t="str">
        <f>Calculations!$C$12</f>
        <v>2010</v>
      </c>
      <c r="D12" s="61">
        <f>ROUND(IF(D$9&lt;&gt;0, D16/D$9, 0), 6)</f>
        <v>0.82576700000000003</v>
      </c>
      <c r="E12" s="77">
        <f>Calculations!D16</f>
        <v>0.84087599999999996</v>
      </c>
      <c r="F12" s="77">
        <f>Calculations!E16</f>
        <v>0.77777799999999997</v>
      </c>
      <c r="G12" s="34"/>
      <c r="H12" s="34"/>
      <c r="I12" s="77">
        <f>Calculations!H16</f>
        <v>0.66666700000000001</v>
      </c>
      <c r="J12" s="77">
        <f>Calculations!I16</f>
        <v>0.77777799999999997</v>
      </c>
      <c r="K12" s="61">
        <f>ROUND(IF(K$9&lt;&gt;0, K16/K$9, 0), 6)</f>
        <v>0.75</v>
      </c>
    </row>
    <row r="13" spans="1:11" x14ac:dyDescent="0.25">
      <c r="A13" s="55"/>
      <c r="B13" s="117" t="s">
        <v>52</v>
      </c>
      <c r="C13" s="178" t="str">
        <f>Calculations!$C$48</f>
        <v>2010-15</v>
      </c>
      <c r="D13" s="61">
        <f>ROUND(IF(D$9&lt;&gt;0, D17/D$9, 0), 6)</f>
        <v>0.82576700000000003</v>
      </c>
      <c r="E13" s="77">
        <f>Calculations!D49</f>
        <v>0.84087599999999996</v>
      </c>
      <c r="F13" s="77">
        <f>Calculations!E49</f>
        <v>0.77777799999999997</v>
      </c>
      <c r="G13" s="34"/>
      <c r="H13" s="34"/>
      <c r="I13" s="77">
        <f>Calculations!H49</f>
        <v>0.66666700000000001</v>
      </c>
      <c r="J13" s="77">
        <f>Calculations!I49</f>
        <v>0.77777799999999997</v>
      </c>
      <c r="K13" s="61">
        <f>ROUND(IF(K$9&lt;&gt;0, K17/K$9, 0), 6)</f>
        <v>0.75</v>
      </c>
    </row>
    <row r="14" spans="1:11" x14ac:dyDescent="0.25">
      <c r="A14" s="55"/>
      <c r="B14" s="117" t="s">
        <v>76</v>
      </c>
      <c r="C14" s="178" t="str">
        <f>Calculations!$C$2</f>
        <v>2016</v>
      </c>
      <c r="D14" s="61">
        <f>ROUND(IF(D$9&lt;&gt;0, D18/D$9, 0), 6)</f>
        <v>0.82822099999999998</v>
      </c>
      <c r="E14" s="106">
        <v>0.84387599999999996</v>
      </c>
      <c r="F14" s="106">
        <v>0.77777799999999997</v>
      </c>
      <c r="G14" s="34"/>
      <c r="H14" s="34"/>
      <c r="I14" s="106">
        <v>0.66666700000000001</v>
      </c>
      <c r="J14" s="106">
        <v>0.77777799999999997</v>
      </c>
      <c r="K14" s="61">
        <f>ROUND(IF(K$9&lt;&gt;0, K18/K$9, 0), 6)</f>
        <v>0.75</v>
      </c>
    </row>
    <row r="15" spans="1:11" x14ac:dyDescent="0.25">
      <c r="A15" s="55"/>
      <c r="B15" s="117" t="s">
        <v>133</v>
      </c>
      <c r="C15" s="178" t="str">
        <f>Calculations!$C$2</f>
        <v>2016</v>
      </c>
      <c r="D15" s="53">
        <f>E15+F15+I15+J15</f>
        <v>673</v>
      </c>
      <c r="E15" s="53">
        <f t="shared" ref="E15:F18" si="3">ROUND(E$9*E11,0)</f>
        <v>574</v>
      </c>
      <c r="F15" s="53">
        <f t="shared" si="3"/>
        <v>14</v>
      </c>
      <c r="G15" s="34"/>
      <c r="H15" s="34"/>
      <c r="I15" s="53">
        <f t="shared" ref="I15:J18" si="4">ROUND(I$9*I11,0)</f>
        <v>22</v>
      </c>
      <c r="J15" s="53">
        <f t="shared" si="4"/>
        <v>63</v>
      </c>
      <c r="K15" s="53">
        <f>F15+I15+J15</f>
        <v>99</v>
      </c>
    </row>
    <row r="16" spans="1:11" x14ac:dyDescent="0.25">
      <c r="A16" s="55"/>
      <c r="B16" s="117" t="s">
        <v>16</v>
      </c>
      <c r="C16" s="178" t="str">
        <f>Calculations!$C$2</f>
        <v>2016</v>
      </c>
      <c r="D16" s="53">
        <f>E16+F16+I16+J16</f>
        <v>673</v>
      </c>
      <c r="E16" s="53">
        <f t="shared" si="3"/>
        <v>574</v>
      </c>
      <c r="F16" s="53">
        <f t="shared" si="3"/>
        <v>14</v>
      </c>
      <c r="G16" s="34"/>
      <c r="H16" s="34"/>
      <c r="I16" s="53">
        <f t="shared" si="4"/>
        <v>22</v>
      </c>
      <c r="J16" s="53">
        <f t="shared" si="4"/>
        <v>63</v>
      </c>
      <c r="K16" s="53">
        <f>F16+I16+J16</f>
        <v>99</v>
      </c>
    </row>
    <row r="17" spans="1:12" x14ac:dyDescent="0.25">
      <c r="A17" s="55"/>
      <c r="B17" s="117" t="s">
        <v>137</v>
      </c>
      <c r="C17" s="178" t="str">
        <f>Calculations!$C$2</f>
        <v>2016</v>
      </c>
      <c r="D17" s="53">
        <f>E17+F17+I17+J17</f>
        <v>673</v>
      </c>
      <c r="E17" s="53">
        <f t="shared" si="3"/>
        <v>574</v>
      </c>
      <c r="F17" s="53">
        <f t="shared" si="3"/>
        <v>14</v>
      </c>
      <c r="G17" s="34"/>
      <c r="H17" s="34"/>
      <c r="I17" s="53">
        <f t="shared" si="4"/>
        <v>22</v>
      </c>
      <c r="J17" s="53">
        <f t="shared" si="4"/>
        <v>63</v>
      </c>
      <c r="K17" s="53">
        <f>F17+I17+J17</f>
        <v>99</v>
      </c>
    </row>
    <row r="18" spans="1:12" x14ac:dyDescent="0.25">
      <c r="A18" s="55"/>
      <c r="B18" s="117" t="s">
        <v>2</v>
      </c>
      <c r="C18" s="178" t="str">
        <f>Calculations!$C$2</f>
        <v>2016</v>
      </c>
      <c r="D18" s="53">
        <f>E18+F18+I18+J18</f>
        <v>675</v>
      </c>
      <c r="E18" s="53">
        <f t="shared" si="3"/>
        <v>576</v>
      </c>
      <c r="F18" s="53">
        <f t="shared" si="3"/>
        <v>14</v>
      </c>
      <c r="G18" s="34"/>
      <c r="H18" s="34"/>
      <c r="I18" s="53">
        <f t="shared" si="4"/>
        <v>22</v>
      </c>
      <c r="J18" s="53">
        <f t="shared" si="4"/>
        <v>63</v>
      </c>
      <c r="K18" s="53">
        <f>F18+I18+J18</f>
        <v>99</v>
      </c>
    </row>
    <row r="19" spans="1:12" x14ac:dyDescent="0.25">
      <c r="A19" s="180" t="s">
        <v>125</v>
      </c>
      <c r="B19" s="180"/>
      <c r="C19" s="180"/>
      <c r="D19" s="180"/>
      <c r="E19" s="180"/>
      <c r="F19" s="180"/>
      <c r="G19" s="180"/>
      <c r="H19" s="180"/>
      <c r="I19" s="180"/>
      <c r="J19" s="180"/>
      <c r="K19" s="180"/>
    </row>
    <row r="20" spans="1:12" x14ac:dyDescent="0.25">
      <c r="A20" s="55"/>
      <c r="B20" s="117" t="s">
        <v>144</v>
      </c>
      <c r="C20" s="178" t="str">
        <f>Calculations!$C$6</f>
        <v>2010</v>
      </c>
      <c r="D20" s="77">
        <f>Calculations!C11</f>
        <v>2.1614810000000002</v>
      </c>
      <c r="E20" s="77">
        <f>Calculations!D11</f>
        <v>2.2569439999999998</v>
      </c>
      <c r="F20" s="77">
        <f>Calculations!E11</f>
        <v>1.928571</v>
      </c>
      <c r="G20" s="34"/>
      <c r="H20" s="34"/>
      <c r="I20" s="77">
        <f>Calculations!H11</f>
        <v>1.454545</v>
      </c>
      <c r="J20" s="77">
        <f>Calculations!I11</f>
        <v>1.587302</v>
      </c>
      <c r="K20" s="77">
        <f>Calculations!J11</f>
        <v>1.606061</v>
      </c>
    </row>
    <row r="21" spans="1:12" x14ac:dyDescent="0.25">
      <c r="A21" s="55"/>
      <c r="B21" s="117" t="s">
        <v>102</v>
      </c>
      <c r="C21" s="153" t="str">
        <f>Calculations!$C$30</f>
        <v>2000</v>
      </c>
      <c r="D21" s="77">
        <f>Calculations!C35</f>
        <v>2.1617440000000001</v>
      </c>
      <c r="E21" s="77">
        <f>Calculations!D35</f>
        <v>2.2532679999999998</v>
      </c>
      <c r="F21" s="77">
        <f>Calculations!E35</f>
        <v>1.857143</v>
      </c>
      <c r="G21" s="34"/>
      <c r="H21" s="34"/>
      <c r="I21" s="77">
        <f>Calculations!H35</f>
        <v>1.473684</v>
      </c>
      <c r="J21" s="77">
        <f>Calculations!I35</f>
        <v>1.575758</v>
      </c>
      <c r="K21" s="77">
        <f>Calculations!J35</f>
        <v>1.59596</v>
      </c>
      <c r="L21" s="79"/>
    </row>
    <row r="22" spans="1:12" x14ac:dyDescent="0.25">
      <c r="A22" s="55"/>
      <c r="B22" s="117" t="s">
        <v>84</v>
      </c>
      <c r="C22" s="178" t="str">
        <f>Calculations!$C$12</f>
        <v>2010</v>
      </c>
      <c r="D22" s="61">
        <f>ROUND(IF(D16&lt;&gt;0, D28/D16, 0), 6)</f>
        <v>2.1604749999999999</v>
      </c>
      <c r="E22" s="77">
        <f>Calculations!D17</f>
        <v>2.2569439999999998</v>
      </c>
      <c r="F22" s="77">
        <f>Calculations!E17</f>
        <v>1.928571</v>
      </c>
      <c r="G22" s="34"/>
      <c r="H22" s="34"/>
      <c r="I22" s="77">
        <f>Calculations!H17</f>
        <v>1.454545</v>
      </c>
      <c r="J22" s="77">
        <f>Calculations!I17</f>
        <v>1.587302</v>
      </c>
      <c r="K22" s="61">
        <f>ROUND(IF(K16&lt;&gt;0, K28/K16, 0), 6)</f>
        <v>1.606061</v>
      </c>
    </row>
    <row r="23" spans="1:12" x14ac:dyDescent="0.25">
      <c r="A23" s="55"/>
      <c r="B23" s="117" t="s">
        <v>105</v>
      </c>
      <c r="C23" s="73"/>
      <c r="D23" s="44"/>
      <c r="E23" s="61">
        <f>ROUND(IF(E$21 &lt;&gt; 0, (E$22/E$21)^(1/($C$22-$C$21)), 0), 6)</f>
        <v>1.0001629999999999</v>
      </c>
      <c r="F23" s="61">
        <f>ROUND(IF(F$21 &lt;&gt; 0, (F$22/F$21)^(1/($C$22-$C$21)), 0), 6)</f>
        <v>1.003781</v>
      </c>
      <c r="G23" s="19"/>
      <c r="H23" s="19"/>
      <c r="I23" s="61">
        <f>ROUND(IF(I$21 &lt;&gt; 0, (I$22/I$21)^(1/($C$22-$C$21)), 0), 6)</f>
        <v>0.99869399999999997</v>
      </c>
      <c r="J23" s="61">
        <f>ROUND(IF(J$21 &lt;&gt; 0, (J$22/J$21)^(1/($C$22-$C$21)), 0), 6)</f>
        <v>1.0007299999999999</v>
      </c>
      <c r="K23" s="34"/>
    </row>
    <row r="24" spans="1:12" x14ac:dyDescent="0.25">
      <c r="A24" s="55"/>
      <c r="B24" s="117" t="s">
        <v>88</v>
      </c>
      <c r="C24" s="73"/>
      <c r="D24" s="44"/>
      <c r="E24" s="106">
        <v>0</v>
      </c>
      <c r="F24" s="106">
        <v>0</v>
      </c>
      <c r="G24" s="19"/>
      <c r="H24" s="19"/>
      <c r="I24" s="106">
        <v>1</v>
      </c>
      <c r="J24" s="106">
        <v>0</v>
      </c>
      <c r="K24" s="34"/>
    </row>
    <row r="25" spans="1:12" x14ac:dyDescent="0.25">
      <c r="A25" s="55"/>
      <c r="B25" s="117" t="s">
        <v>22</v>
      </c>
      <c r="C25" s="73"/>
      <c r="D25" s="61">
        <f>IF(OR(D22&lt;1, D21&lt;1, D16 = 0), 0, IF(AND((D29/D16)&gt;0, (D29/D16)&lt;1), 1, ROUND(D29/D16, 6)))</f>
        <v>2.1604749999999999</v>
      </c>
      <c r="E25" s="77">
        <f>IF(OR(Detail!E22&lt;1, Detail!E21&lt;1), 0, IF(AND(Calculations!D51&gt;0, Calculations!D51&lt;1), 1,  Calculations!D51))</f>
        <v>2.2569439999999998</v>
      </c>
      <c r="F25" s="77">
        <f>IF(OR(Detail!F22&lt;1, Detail!F21&lt;1), 0, IF(AND(Calculations!E51&gt;0, Calculations!E51&lt;1), 1,  Calculations!E51))</f>
        <v>1.928571</v>
      </c>
      <c r="G25" s="19"/>
      <c r="H25" s="19"/>
      <c r="I25" s="77">
        <f>IF(OR(Detail!I22&lt;1, Detail!I21&lt;1), 0, IF(AND(Calculations!H51&gt;0, Calculations!H51&lt;1), 1,  Calculations!H51))</f>
        <v>1.443184</v>
      </c>
      <c r="J25" s="77">
        <f>IF(OR(Detail!J22&lt;1, Detail!J21&lt;1), 0, IF(AND(Calculations!I51&gt;0, Calculations!I51&lt;1), 1,  Calculations!I51))</f>
        <v>1.587302</v>
      </c>
      <c r="K25" s="61">
        <f>IF(OR(K22&lt;1, K21&lt;1, K16=0), 0, IF(AND((K29/K16)&gt;0, (K29/K16)&lt;1), 1, ROUND(K29/K16, 6)))</f>
        <v>1.606061</v>
      </c>
    </row>
    <row r="26" spans="1:12" x14ac:dyDescent="0.25">
      <c r="A26" s="55"/>
      <c r="B26" s="117" t="s">
        <v>91</v>
      </c>
      <c r="C26" s="178" t="str">
        <f>Calculations!$C$48</f>
        <v>2010-15</v>
      </c>
      <c r="D26" s="61">
        <f>ROUND(IF(D17 &lt;&gt; 0, D30/D17, 0), 6)</f>
        <v>2.1604749999999999</v>
      </c>
      <c r="E26" s="77">
        <f>Calculations!D50</f>
        <v>2.2569439999999998</v>
      </c>
      <c r="F26" s="77">
        <f>Calculations!E50</f>
        <v>1.928571</v>
      </c>
      <c r="G26" s="34"/>
      <c r="H26" s="34"/>
      <c r="I26" s="77">
        <f>Calculations!H50</f>
        <v>1.454545</v>
      </c>
      <c r="J26" s="77">
        <f>Calculations!I50</f>
        <v>1.587302</v>
      </c>
      <c r="K26" s="61">
        <f>ROUND(IF(K17 &lt;&gt; 0, K30/K17, 0), 6)</f>
        <v>1.606061</v>
      </c>
    </row>
    <row r="27" spans="1:12" x14ac:dyDescent="0.25">
      <c r="A27" s="55"/>
      <c r="B27" s="117" t="s">
        <v>82</v>
      </c>
      <c r="C27" s="178" t="str">
        <f>Calculations!$C$2</f>
        <v>2016</v>
      </c>
      <c r="D27" s="61">
        <f>ROUND(IF(D18 &lt;&gt; 0, D31/D18, 0), 6)</f>
        <v>2.1614810000000002</v>
      </c>
      <c r="E27" s="106">
        <v>2.2569439999999998</v>
      </c>
      <c r="F27" s="106">
        <v>1.928571</v>
      </c>
      <c r="G27" s="34"/>
      <c r="H27" s="34"/>
      <c r="I27" s="106">
        <v>1.454545</v>
      </c>
      <c r="J27" s="106">
        <v>1.587302</v>
      </c>
      <c r="K27" s="61">
        <f>ROUND(IF(K18 &lt;&gt; 0, K31/K18, 0), 6)</f>
        <v>1.606061</v>
      </c>
    </row>
    <row r="28" spans="1:12" x14ac:dyDescent="0.25">
      <c r="A28" s="59" t="b">
        <v>0</v>
      </c>
      <c r="B28" s="117" t="s">
        <v>1</v>
      </c>
      <c r="C28" s="178" t="str">
        <f>Calculations!$C$2</f>
        <v>2016</v>
      </c>
      <c r="D28" s="53">
        <f>E28+F28+I28+J28</f>
        <v>1454</v>
      </c>
      <c r="E28" s="53">
        <f>ROUND(E16*E22, 0)</f>
        <v>1295</v>
      </c>
      <c r="F28" s="53">
        <f>ROUND(F16*F22, 0)</f>
        <v>27</v>
      </c>
      <c r="G28" s="9"/>
      <c r="H28" s="34"/>
      <c r="I28" s="53">
        <f>ROUND(I16*I22, 0)</f>
        <v>32</v>
      </c>
      <c r="J28" s="53">
        <f>ROUND(J16*J22, 0)</f>
        <v>100</v>
      </c>
      <c r="K28" s="53">
        <f>F28+I28+J28</f>
        <v>159</v>
      </c>
    </row>
    <row r="29" spans="1:12" x14ac:dyDescent="0.25">
      <c r="A29" s="119" t="b">
        <v>0</v>
      </c>
      <c r="B29" s="117" t="s">
        <v>6</v>
      </c>
      <c r="C29" s="178" t="str">
        <f>Calculations!$C$2</f>
        <v>2016</v>
      </c>
      <c r="D29" s="53">
        <f>E29+F29+I29+J29</f>
        <v>1454</v>
      </c>
      <c r="E29" s="53">
        <f t="shared" ref="E29:F31" si="5">ROUND(E16*E25,0)</f>
        <v>1295</v>
      </c>
      <c r="F29" s="53">
        <f t="shared" si="5"/>
        <v>27</v>
      </c>
      <c r="G29" s="9"/>
      <c r="H29" s="34"/>
      <c r="I29" s="53">
        <f t="shared" ref="I29:J31" si="6">ROUND(I16*I25,0)</f>
        <v>32</v>
      </c>
      <c r="J29" s="53">
        <f t="shared" si="6"/>
        <v>100</v>
      </c>
      <c r="K29" s="53">
        <f>F29+I29+J29</f>
        <v>159</v>
      </c>
    </row>
    <row r="30" spans="1:12" x14ac:dyDescent="0.25">
      <c r="A30" s="59" t="b">
        <v>0</v>
      </c>
      <c r="B30" s="117" t="s">
        <v>135</v>
      </c>
      <c r="C30" s="178" t="str">
        <f>Calculations!$C$2</f>
        <v>2016</v>
      </c>
      <c r="D30" s="53">
        <f>E30+F30+I30+J30</f>
        <v>1454</v>
      </c>
      <c r="E30" s="53">
        <f t="shared" si="5"/>
        <v>1295</v>
      </c>
      <c r="F30" s="53">
        <f t="shared" si="5"/>
        <v>27</v>
      </c>
      <c r="G30" s="9"/>
      <c r="H30" s="34"/>
      <c r="I30" s="53">
        <f t="shared" si="6"/>
        <v>32</v>
      </c>
      <c r="J30" s="53">
        <f t="shared" si="6"/>
        <v>100</v>
      </c>
      <c r="K30" s="53">
        <f>F30+I30+J30</f>
        <v>159</v>
      </c>
    </row>
    <row r="31" spans="1:12" x14ac:dyDescent="0.25">
      <c r="A31" s="59" t="b">
        <v>1</v>
      </c>
      <c r="B31" s="117" t="s">
        <v>7</v>
      </c>
      <c r="C31" s="178" t="str">
        <f>Calculations!$C$2</f>
        <v>2016</v>
      </c>
      <c r="D31" s="53">
        <f>E31+F31+I31+J31</f>
        <v>1459</v>
      </c>
      <c r="E31" s="53">
        <f t="shared" si="5"/>
        <v>1300</v>
      </c>
      <c r="F31" s="53">
        <f t="shared" si="5"/>
        <v>27</v>
      </c>
      <c r="G31" s="34"/>
      <c r="H31" s="34"/>
      <c r="I31" s="53">
        <f t="shared" si="6"/>
        <v>32</v>
      </c>
      <c r="J31" s="53">
        <f t="shared" si="6"/>
        <v>100</v>
      </c>
      <c r="K31" s="53">
        <f>F31+I31+J31</f>
        <v>159</v>
      </c>
    </row>
    <row r="32" spans="1:12" x14ac:dyDescent="0.25">
      <c r="A32" s="180" t="s">
        <v>54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</row>
    <row r="33" spans="1:11" s="98" customFormat="1" x14ac:dyDescent="0.25">
      <c r="A33" s="59" t="s">
        <v>147</v>
      </c>
      <c r="B33" s="76" t="s">
        <v>143</v>
      </c>
      <c r="C33" s="29" t="s">
        <v>31</v>
      </c>
      <c r="D33" s="29" t="s">
        <v>101</v>
      </c>
      <c r="E33" s="29"/>
      <c r="F33" s="29"/>
      <c r="G33" s="29"/>
      <c r="H33" s="29"/>
      <c r="I33" s="29"/>
      <c r="J33" s="29"/>
      <c r="K33" s="29"/>
    </row>
    <row r="34" spans="1:11" x14ac:dyDescent="0.25">
      <c r="A34" s="179"/>
      <c r="B34" s="117" t="s">
        <v>142</v>
      </c>
      <c r="C34" s="178" t="str">
        <f>Calculations!$C$12</f>
        <v>2010</v>
      </c>
      <c r="D34" s="86">
        <v>80</v>
      </c>
      <c r="E34" s="85"/>
      <c r="F34" s="85"/>
      <c r="G34" s="85"/>
      <c r="H34" s="85"/>
      <c r="I34" s="85"/>
      <c r="J34" s="85"/>
      <c r="K34" s="85"/>
    </row>
    <row r="35" spans="1:11" x14ac:dyDescent="0.25">
      <c r="A35" s="179"/>
      <c r="B35" s="117" t="s">
        <v>21</v>
      </c>
      <c r="C35" s="178" t="str">
        <f>Calculations!$C$12</f>
        <v>2010</v>
      </c>
      <c r="D35" s="86">
        <v>80</v>
      </c>
      <c r="E35" s="85"/>
      <c r="F35" s="85"/>
      <c r="G35" s="85"/>
      <c r="H35" s="85"/>
      <c r="I35" s="85"/>
      <c r="J35" s="85"/>
      <c r="K35" s="85"/>
    </row>
    <row r="36" spans="1:11" x14ac:dyDescent="0.25">
      <c r="A36" s="179"/>
      <c r="B36" s="117" t="s">
        <v>45</v>
      </c>
      <c r="C36" s="178" t="str">
        <f>Calculations!$C$2</f>
        <v>2016</v>
      </c>
      <c r="D36" s="86">
        <v>77</v>
      </c>
      <c r="E36" s="85"/>
      <c r="F36" s="85"/>
      <c r="G36" s="85"/>
      <c r="H36" s="85"/>
      <c r="I36" s="85"/>
      <c r="J36" s="85"/>
      <c r="K36" s="85"/>
    </row>
    <row r="37" spans="1:11" x14ac:dyDescent="0.25">
      <c r="A37" s="179"/>
      <c r="B37" s="117" t="s">
        <v>67</v>
      </c>
      <c r="C37" s="178" t="str">
        <f>Calculations!$C$5</f>
        <v>2010-16</v>
      </c>
      <c r="D37" s="53">
        <f>D36-D35</f>
        <v>-3</v>
      </c>
      <c r="E37" s="85"/>
      <c r="F37" s="85"/>
      <c r="G37" s="85"/>
      <c r="H37" s="85"/>
      <c r="I37" s="85"/>
      <c r="J37" s="85"/>
      <c r="K37" s="85"/>
    </row>
    <row r="38" spans="1:11" x14ac:dyDescent="0.25">
      <c r="A38" s="59" t="b">
        <v>1</v>
      </c>
      <c r="B38" s="117" t="s">
        <v>44</v>
      </c>
      <c r="C38" s="178" t="str">
        <f>Calculations!$C$2</f>
        <v>2016</v>
      </c>
      <c r="D38" s="53">
        <f>D34+D37</f>
        <v>77</v>
      </c>
      <c r="E38" s="85"/>
      <c r="F38" s="85"/>
      <c r="G38" s="85"/>
      <c r="H38" s="85"/>
      <c r="I38" s="85"/>
      <c r="J38" s="85"/>
      <c r="K38" s="85"/>
    </row>
    <row r="39" spans="1:11" x14ac:dyDescent="0.25">
      <c r="A39" s="180" t="s">
        <v>125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</row>
    <row r="40" spans="1:11" x14ac:dyDescent="0.25">
      <c r="A40" s="179"/>
      <c r="B40" s="117" t="s">
        <v>119</v>
      </c>
      <c r="C40" s="178" t="str">
        <f>Calculations!$C$6</f>
        <v>2010</v>
      </c>
      <c r="D40" s="77">
        <f>Calculations!K10</f>
        <v>0.88749999999999996</v>
      </c>
      <c r="E40" s="85"/>
      <c r="F40" s="85"/>
      <c r="G40" s="85"/>
      <c r="H40" s="85"/>
      <c r="I40" s="85"/>
      <c r="J40" s="85"/>
      <c r="K40" s="85"/>
    </row>
    <row r="41" spans="1:11" x14ac:dyDescent="0.25">
      <c r="A41" s="179"/>
      <c r="B41" s="117" t="s">
        <v>100</v>
      </c>
      <c r="C41" s="178" t="str">
        <f>Calculations!$C$12</f>
        <v>2010</v>
      </c>
      <c r="D41" s="77">
        <f>Calculations!K16</f>
        <v>0.88749999999999996</v>
      </c>
      <c r="E41" s="85"/>
      <c r="F41" s="85"/>
      <c r="G41" s="85"/>
      <c r="H41" s="85"/>
      <c r="I41" s="85"/>
      <c r="J41" s="85"/>
      <c r="K41" s="85"/>
    </row>
    <row r="42" spans="1:11" x14ac:dyDescent="0.25">
      <c r="A42" s="179"/>
      <c r="B42" s="117" t="s">
        <v>52</v>
      </c>
      <c r="C42" s="178" t="str">
        <f>Calculations!$C$48</f>
        <v>2010-15</v>
      </c>
      <c r="D42" s="77">
        <f>Calculations!K49</f>
        <v>0.88749999999999996</v>
      </c>
      <c r="E42" s="85"/>
      <c r="F42" s="85"/>
      <c r="G42" s="85"/>
      <c r="H42" s="85"/>
      <c r="I42" s="85"/>
      <c r="J42" s="85"/>
      <c r="K42" s="85"/>
    </row>
    <row r="43" spans="1:11" x14ac:dyDescent="0.25">
      <c r="A43" s="179"/>
      <c r="B43" s="117"/>
      <c r="C43" s="178"/>
      <c r="D43" s="77"/>
      <c r="E43" s="85"/>
      <c r="F43" s="85"/>
      <c r="G43" s="85"/>
      <c r="H43" s="85"/>
      <c r="I43" s="85"/>
      <c r="J43" s="85"/>
      <c r="K43" s="85"/>
    </row>
    <row r="44" spans="1:11" x14ac:dyDescent="0.25">
      <c r="A44" s="179"/>
      <c r="B44" s="117"/>
      <c r="C44" s="178"/>
      <c r="D44" s="77"/>
      <c r="E44" s="85"/>
      <c r="F44" s="85"/>
      <c r="G44" s="85"/>
      <c r="H44" s="85"/>
      <c r="I44" s="85"/>
      <c r="J44" s="85"/>
      <c r="K44" s="85"/>
    </row>
    <row r="45" spans="1:11" x14ac:dyDescent="0.25">
      <c r="A45" s="179"/>
      <c r="B45" s="117" t="s">
        <v>76</v>
      </c>
      <c r="C45" s="178" t="str">
        <f>Calculations!$C$2</f>
        <v>2016</v>
      </c>
      <c r="D45" s="106">
        <v>0.885911</v>
      </c>
      <c r="E45" s="85"/>
      <c r="F45" s="85"/>
      <c r="G45" s="85"/>
      <c r="H45" s="85"/>
      <c r="I45" s="85"/>
      <c r="J45" s="85"/>
      <c r="K45" s="85"/>
    </row>
    <row r="46" spans="1:11" x14ac:dyDescent="0.25">
      <c r="A46" s="179"/>
      <c r="B46" s="117" t="s">
        <v>133</v>
      </c>
      <c r="C46" s="178" t="str">
        <f>Calculations!$C$2</f>
        <v>2016</v>
      </c>
      <c r="D46" s="53">
        <f>ROUND(ABS($D$38) * D40, 0) * IF($D$38 &lt; 0, -1, 1)</f>
        <v>68</v>
      </c>
      <c r="E46" s="85"/>
      <c r="F46" s="85"/>
      <c r="G46" s="85"/>
      <c r="H46" s="85"/>
      <c r="I46" s="85"/>
      <c r="J46" s="85"/>
      <c r="K46" s="85"/>
    </row>
    <row r="47" spans="1:11" x14ac:dyDescent="0.25">
      <c r="A47" s="179"/>
      <c r="B47" s="117" t="s">
        <v>16</v>
      </c>
      <c r="C47" s="178" t="str">
        <f>Calculations!$C$2</f>
        <v>2016</v>
      </c>
      <c r="D47" s="53">
        <f>ROUND(ABS($D$38) * D41, 0) * IF($D$38 &lt; 0, -1, 1)</f>
        <v>68</v>
      </c>
      <c r="E47" s="85"/>
      <c r="F47" s="85"/>
      <c r="G47" s="85"/>
      <c r="H47" s="85"/>
      <c r="I47" s="85"/>
      <c r="J47" s="85"/>
      <c r="K47" s="85"/>
    </row>
    <row r="48" spans="1:11" x14ac:dyDescent="0.25">
      <c r="A48" s="179"/>
      <c r="B48" s="117" t="s">
        <v>137</v>
      </c>
      <c r="C48" s="178" t="str">
        <f>Calculations!$C$2</f>
        <v>2016</v>
      </c>
      <c r="D48" s="53">
        <f>ROUND(ABS($D$38) * D42, 0) * IF($D$38 &lt; 0, -1, 1)</f>
        <v>68</v>
      </c>
      <c r="E48" s="85"/>
      <c r="F48" s="85"/>
      <c r="G48" s="85"/>
      <c r="H48" s="85"/>
      <c r="I48" s="85"/>
      <c r="J48" s="85"/>
      <c r="K48" s="85"/>
    </row>
    <row r="49" spans="1:11" x14ac:dyDescent="0.25">
      <c r="A49" s="179"/>
      <c r="B49" s="117"/>
      <c r="C49" s="117"/>
      <c r="D49" s="53"/>
      <c r="E49" s="85"/>
      <c r="F49" s="85"/>
      <c r="G49" s="85"/>
      <c r="H49" s="85"/>
      <c r="I49" s="85"/>
      <c r="J49" s="85"/>
      <c r="K49" s="85"/>
    </row>
    <row r="50" spans="1:11" x14ac:dyDescent="0.25">
      <c r="A50" s="179"/>
      <c r="B50" s="117" t="s">
        <v>2</v>
      </c>
      <c r="C50" s="178" t="str">
        <f>Calculations!$C$2</f>
        <v>2016</v>
      </c>
      <c r="D50" s="53">
        <f>ROUND(ABS($D$38) * D45, 0) * IF($D$38 &lt; 0, -1, 1)</f>
        <v>68</v>
      </c>
      <c r="E50" s="85"/>
      <c r="F50" s="85"/>
      <c r="G50" s="85"/>
      <c r="H50" s="85"/>
      <c r="I50" s="85"/>
      <c r="J50" s="85"/>
      <c r="K50" s="85"/>
    </row>
    <row r="51" spans="1:11" x14ac:dyDescent="0.25">
      <c r="A51" s="180" t="s">
        <v>125</v>
      </c>
      <c r="B51" s="180"/>
      <c r="C51" s="180"/>
      <c r="D51" s="180"/>
      <c r="E51" s="180"/>
      <c r="F51" s="180"/>
      <c r="G51" s="180"/>
      <c r="H51" s="180"/>
      <c r="I51" s="180"/>
      <c r="J51" s="180"/>
      <c r="K51" s="180"/>
    </row>
    <row r="52" spans="1:11" x14ac:dyDescent="0.25">
      <c r="A52" s="179"/>
      <c r="B52" s="117" t="s">
        <v>144</v>
      </c>
      <c r="C52" s="178" t="str">
        <f>Calculations!$C$6</f>
        <v>2010</v>
      </c>
      <c r="D52" s="77">
        <f>Calculations!K11</f>
        <v>2.0845069999999999</v>
      </c>
      <c r="E52" s="85"/>
      <c r="F52" s="85"/>
      <c r="G52" s="85"/>
      <c r="H52" s="85"/>
      <c r="I52" s="85"/>
      <c r="J52" s="85"/>
      <c r="K52" s="85"/>
    </row>
    <row r="53" spans="1:11" x14ac:dyDescent="0.25">
      <c r="A53" s="179"/>
      <c r="B53" s="117" t="s">
        <v>102</v>
      </c>
      <c r="C53" s="153" t="str">
        <f>Calculations!$C$36</f>
        <v>2000</v>
      </c>
      <c r="D53" s="77">
        <f>Calculations!K41</f>
        <v>2.03125</v>
      </c>
      <c r="E53" s="85"/>
      <c r="F53" s="85"/>
      <c r="G53" s="85"/>
      <c r="H53" s="85"/>
      <c r="I53" s="85"/>
      <c r="J53" s="85"/>
      <c r="K53" s="85"/>
    </row>
    <row r="54" spans="1:11" x14ac:dyDescent="0.25">
      <c r="A54" s="179"/>
      <c r="B54" s="117" t="s">
        <v>84</v>
      </c>
      <c r="C54" s="178" t="str">
        <f>Calculations!$C$12</f>
        <v>2010</v>
      </c>
      <c r="D54" s="77">
        <f>Calculations!K17</f>
        <v>2.0845069999999999</v>
      </c>
      <c r="E54" s="85"/>
      <c r="F54" s="85"/>
      <c r="G54" s="85"/>
      <c r="H54" s="85"/>
      <c r="I54" s="85"/>
      <c r="J54" s="85"/>
      <c r="K54" s="85"/>
    </row>
    <row r="55" spans="1:11" x14ac:dyDescent="0.25">
      <c r="A55" s="179"/>
      <c r="B55" s="117" t="s">
        <v>105</v>
      </c>
      <c r="C55" s="73"/>
      <c r="D55" s="61">
        <f>ROUND(IF(D53&lt;&gt;0, (D54/D53)^(1/(C54-C53)), 0), 6)</f>
        <v>1.002591</v>
      </c>
      <c r="E55" s="85"/>
      <c r="F55" s="85"/>
      <c r="G55" s="85"/>
      <c r="H55" s="85"/>
      <c r="I55" s="85"/>
      <c r="J55" s="85"/>
      <c r="K55" s="85"/>
    </row>
    <row r="56" spans="1:11" x14ac:dyDescent="0.25">
      <c r="A56" s="179"/>
      <c r="B56" s="117" t="s">
        <v>88</v>
      </c>
      <c r="C56" s="73"/>
      <c r="D56" s="106">
        <v>0</v>
      </c>
      <c r="E56" s="85"/>
      <c r="F56" s="85"/>
      <c r="G56" s="85"/>
      <c r="H56" s="85"/>
      <c r="I56" s="85"/>
      <c r="J56" s="85"/>
      <c r="K56" s="85"/>
    </row>
    <row r="57" spans="1:11" x14ac:dyDescent="0.25">
      <c r="A57" s="179"/>
      <c r="B57" s="117" t="s">
        <v>22</v>
      </c>
      <c r="C57" s="73"/>
      <c r="D57" s="77">
        <f>IF(OR(Detail!D54&lt;1, Detail!D53&lt;1), 0, IF(AND(Calculations!K51&gt;0, Calculations!K51&lt;1), 1,  Calculations!K51))</f>
        <v>2.0845069999999999</v>
      </c>
      <c r="E57" s="85"/>
      <c r="F57" s="85"/>
      <c r="G57" s="85"/>
      <c r="H57" s="85"/>
      <c r="I57" s="85"/>
      <c r="J57" s="85"/>
      <c r="K57" s="85"/>
    </row>
    <row r="58" spans="1:11" x14ac:dyDescent="0.25">
      <c r="A58" s="179"/>
      <c r="B58" s="117" t="s">
        <v>91</v>
      </c>
      <c r="C58" s="178" t="str">
        <f>Calculations!$C$48</f>
        <v>2010-15</v>
      </c>
      <c r="D58" s="77">
        <f>Calculations!K50</f>
        <v>2.0845069999999999</v>
      </c>
      <c r="E58" s="85"/>
      <c r="F58" s="85"/>
      <c r="G58" s="85"/>
      <c r="H58" s="85"/>
      <c r="I58" s="85"/>
      <c r="J58" s="85"/>
      <c r="K58" s="85"/>
    </row>
    <row r="59" spans="1:11" x14ac:dyDescent="0.25">
      <c r="A59" s="179"/>
      <c r="B59" s="117" t="s">
        <v>82</v>
      </c>
      <c r="C59" s="178" t="str">
        <f>Calculations!$C$2</f>
        <v>2016</v>
      </c>
      <c r="D59" s="106">
        <v>2.0845069999999999</v>
      </c>
      <c r="E59" s="85"/>
      <c r="F59" s="85"/>
      <c r="G59" s="85"/>
      <c r="H59" s="85"/>
      <c r="I59" s="85"/>
      <c r="J59" s="85"/>
      <c r="K59" s="85"/>
    </row>
    <row r="60" spans="1:11" x14ac:dyDescent="0.25">
      <c r="A60" s="59" t="b">
        <v>0</v>
      </c>
      <c r="B60" s="117" t="s">
        <v>1</v>
      </c>
      <c r="C60" s="178" t="str">
        <f>Calculations!$C$2</f>
        <v>2016</v>
      </c>
      <c r="D60" s="53">
        <f>ROUND(ABS($D47) * D54, 0) * IF($D$38 &lt; 0, -1, 1)</f>
        <v>142</v>
      </c>
      <c r="E60" s="85"/>
      <c r="F60" s="85"/>
      <c r="G60" s="85"/>
      <c r="H60" s="85"/>
      <c r="I60" s="85"/>
      <c r="J60" s="85"/>
      <c r="K60" s="85"/>
    </row>
    <row r="61" spans="1:11" x14ac:dyDescent="0.25">
      <c r="A61" s="59" t="b">
        <v>0</v>
      </c>
      <c r="B61" s="117" t="s">
        <v>6</v>
      </c>
      <c r="C61" s="178" t="str">
        <f>Calculations!$C$2</f>
        <v>2016</v>
      </c>
      <c r="D61" s="53">
        <f>ROUND(ABS($D47) * D57, 0) * IF($D$38 &lt; 0, -1, 1)</f>
        <v>142</v>
      </c>
      <c r="E61" s="85"/>
      <c r="F61" s="85"/>
      <c r="G61" s="85"/>
      <c r="H61" s="85"/>
      <c r="I61" s="85"/>
      <c r="J61" s="85"/>
      <c r="K61" s="85"/>
    </row>
    <row r="62" spans="1:11" x14ac:dyDescent="0.25">
      <c r="A62" s="59" t="b">
        <v>0</v>
      </c>
      <c r="B62" s="117" t="s">
        <v>135</v>
      </c>
      <c r="C62" s="178" t="str">
        <f>Calculations!$C$2</f>
        <v>2016</v>
      </c>
      <c r="D62" s="53">
        <f>ROUND(ABS($D48) * D58, 0) * IF($D$38 &lt; 0, -1, 1)</f>
        <v>142</v>
      </c>
      <c r="E62" s="85"/>
      <c r="F62" s="85"/>
      <c r="G62" s="85"/>
      <c r="H62" s="85"/>
      <c r="I62" s="85"/>
      <c r="J62" s="85"/>
      <c r="K62" s="85"/>
    </row>
    <row r="63" spans="1:11" x14ac:dyDescent="0.25">
      <c r="A63" s="59" t="b">
        <v>1</v>
      </c>
      <c r="B63" s="117" t="s">
        <v>7</v>
      </c>
      <c r="C63" s="178" t="str">
        <f>Calculations!$C$2</f>
        <v>2016</v>
      </c>
      <c r="D63" s="53">
        <f>ROUND(ABS($D50) * D59, 0) * IF($D$38 &lt; 0, -1, 1)</f>
        <v>142</v>
      </c>
      <c r="E63" s="85"/>
      <c r="F63" s="85"/>
      <c r="G63" s="85"/>
      <c r="H63" s="85"/>
      <c r="I63" s="85"/>
      <c r="J63" s="85"/>
      <c r="K63" s="85"/>
    </row>
    <row r="64" spans="1:11" x14ac:dyDescent="0.25">
      <c r="A64" s="180" t="s">
        <v>54</v>
      </c>
      <c r="B64" s="180"/>
      <c r="C64" s="180"/>
      <c r="D64" s="180"/>
      <c r="E64" s="180"/>
      <c r="F64" s="180"/>
      <c r="G64" s="180"/>
      <c r="H64" s="180"/>
      <c r="I64" s="180"/>
      <c r="J64" s="180"/>
      <c r="K64" s="180"/>
    </row>
    <row r="65" spans="1:11" x14ac:dyDescent="0.25">
      <c r="A65" s="59" t="s">
        <v>147</v>
      </c>
      <c r="B65" s="76" t="s">
        <v>143</v>
      </c>
      <c r="C65" s="29" t="s">
        <v>31</v>
      </c>
      <c r="D65" s="29" t="s">
        <v>37</v>
      </c>
      <c r="E65" s="29" t="s">
        <v>103</v>
      </c>
      <c r="F65" s="29" t="s">
        <v>131</v>
      </c>
      <c r="G65" s="29" t="s">
        <v>33</v>
      </c>
      <c r="H65" s="29"/>
      <c r="I65" s="29"/>
      <c r="J65" s="29"/>
      <c r="K65" s="29"/>
    </row>
    <row r="66" spans="1:11" x14ac:dyDescent="0.25">
      <c r="A66" s="179"/>
      <c r="B66" s="117" t="s">
        <v>142</v>
      </c>
      <c r="C66" s="178" t="str">
        <f>Calculations!$C$12</f>
        <v>2010</v>
      </c>
      <c r="D66" s="86">
        <v>5</v>
      </c>
      <c r="E66" s="86">
        <v>5</v>
      </c>
      <c r="F66" s="53">
        <f>D66-E66</f>
        <v>0</v>
      </c>
      <c r="G66" s="86">
        <v>7</v>
      </c>
      <c r="H66" s="85"/>
      <c r="I66" s="85"/>
      <c r="J66" s="85"/>
      <c r="K66" s="85"/>
    </row>
    <row r="67" spans="1:11" x14ac:dyDescent="0.25">
      <c r="A67" s="179"/>
      <c r="B67" s="117" t="s">
        <v>21</v>
      </c>
      <c r="C67" s="178" t="str">
        <f>Calculations!$C$12</f>
        <v>2010</v>
      </c>
      <c r="D67" s="86">
        <v>5</v>
      </c>
      <c r="E67" s="86">
        <v>5</v>
      </c>
      <c r="F67" s="9"/>
      <c r="G67" s="86">
        <v>7</v>
      </c>
      <c r="H67" s="85"/>
      <c r="I67" s="85"/>
      <c r="J67" s="85"/>
      <c r="K67" s="85"/>
    </row>
    <row r="68" spans="1:11" x14ac:dyDescent="0.25">
      <c r="A68" s="179"/>
      <c r="B68" s="117" t="s">
        <v>45</v>
      </c>
      <c r="C68" s="178" t="str">
        <f>Calculations!$C$2</f>
        <v>2016</v>
      </c>
      <c r="D68" s="86">
        <v>5</v>
      </c>
      <c r="E68" s="86">
        <v>5</v>
      </c>
      <c r="F68" s="9"/>
      <c r="G68" s="86">
        <v>7</v>
      </c>
      <c r="H68" s="85"/>
      <c r="I68" s="85"/>
      <c r="J68" s="85"/>
      <c r="K68" s="85"/>
    </row>
    <row r="69" spans="1:11" x14ac:dyDescent="0.25">
      <c r="A69" s="179"/>
      <c r="B69" s="117" t="s">
        <v>67</v>
      </c>
      <c r="C69" s="178" t="str">
        <f>Calculations!$C$5</f>
        <v>2010-16</v>
      </c>
      <c r="D69" s="53">
        <f>D68-D67</f>
        <v>0</v>
      </c>
      <c r="E69" s="53">
        <f>E68-E67</f>
        <v>0</v>
      </c>
      <c r="F69" s="9"/>
      <c r="G69" s="53">
        <f>G68-G67</f>
        <v>0</v>
      </c>
      <c r="H69" s="85"/>
      <c r="I69" s="85"/>
      <c r="J69" s="85"/>
      <c r="K69" s="85"/>
    </row>
    <row r="70" spans="1:11" x14ac:dyDescent="0.25">
      <c r="A70" s="59" t="b">
        <v>1</v>
      </c>
      <c r="B70" s="117" t="s">
        <v>44</v>
      </c>
      <c r="C70" s="178" t="str">
        <f>Calculations!$C$2</f>
        <v>2016</v>
      </c>
      <c r="D70" s="53">
        <f>D66+D69</f>
        <v>5</v>
      </c>
      <c r="E70" s="53">
        <f>E66+E69</f>
        <v>5</v>
      </c>
      <c r="F70" s="53">
        <f>F66</f>
        <v>0</v>
      </c>
      <c r="G70" s="53">
        <f>G66+G69</f>
        <v>7</v>
      </c>
      <c r="H70" s="85"/>
      <c r="I70" s="85"/>
      <c r="J70" s="85"/>
      <c r="K70" s="85"/>
    </row>
    <row r="71" spans="1:11" x14ac:dyDescent="0.25">
      <c r="A71" s="180" t="s">
        <v>54</v>
      </c>
      <c r="B71" s="180"/>
      <c r="C71" s="180"/>
      <c r="D71" s="180"/>
      <c r="E71" s="180"/>
      <c r="F71" s="180"/>
      <c r="G71" s="180"/>
      <c r="H71" s="180"/>
      <c r="I71" s="180"/>
      <c r="J71" s="180"/>
      <c r="K71" s="180"/>
    </row>
    <row r="72" spans="1:11" x14ac:dyDescent="0.25">
      <c r="A72" s="59" t="s">
        <v>147</v>
      </c>
      <c r="B72" s="76" t="s">
        <v>143</v>
      </c>
      <c r="C72" s="29" t="s">
        <v>31</v>
      </c>
      <c r="D72" s="29" t="s">
        <v>92</v>
      </c>
      <c r="E72" s="29" t="s">
        <v>5</v>
      </c>
      <c r="F72" s="29" t="s">
        <v>128</v>
      </c>
      <c r="G72" s="29" t="s">
        <v>40</v>
      </c>
      <c r="H72" s="29" t="s">
        <v>0</v>
      </c>
      <c r="I72" s="29" t="s">
        <v>41</v>
      </c>
      <c r="J72" s="29"/>
      <c r="K72" s="29"/>
    </row>
    <row r="73" spans="1:11" x14ac:dyDescent="0.25">
      <c r="A73" s="179"/>
      <c r="B73" s="117" t="s">
        <v>142</v>
      </c>
      <c r="C73" s="178" t="str">
        <f>Calculations!$C$12</f>
        <v>2010</v>
      </c>
      <c r="D73" s="53">
        <f>E73+F73+G73+H73+I73</f>
        <v>59</v>
      </c>
      <c r="E73" s="86">
        <v>30</v>
      </c>
      <c r="F73" s="86">
        <v>0</v>
      </c>
      <c r="G73" s="86">
        <v>28</v>
      </c>
      <c r="H73" s="86">
        <v>0</v>
      </c>
      <c r="I73" s="86">
        <v>1</v>
      </c>
      <c r="J73" s="85"/>
      <c r="K73" s="85"/>
    </row>
    <row r="74" spans="1:11" x14ac:dyDescent="0.25">
      <c r="A74" s="179"/>
      <c r="B74" s="117" t="s">
        <v>21</v>
      </c>
      <c r="C74" s="178" t="str">
        <f>Calculations!$C$12</f>
        <v>2010</v>
      </c>
      <c r="D74" s="53">
        <f>E74+F74+G74+H74+I74</f>
        <v>29</v>
      </c>
      <c r="E74" s="86">
        <v>29</v>
      </c>
      <c r="F74" s="86">
        <v>0</v>
      </c>
      <c r="G74" s="86">
        <v>0</v>
      </c>
      <c r="H74" s="86">
        <v>0</v>
      </c>
      <c r="I74" s="86">
        <v>0</v>
      </c>
      <c r="J74" s="85"/>
      <c r="K74" s="85"/>
    </row>
    <row r="75" spans="1:11" x14ac:dyDescent="0.25">
      <c r="A75" s="179"/>
      <c r="B75" s="117" t="s">
        <v>45</v>
      </c>
      <c r="C75" s="178" t="str">
        <f>Calculations!$C$2</f>
        <v>2016</v>
      </c>
      <c r="D75" s="53">
        <f>E75+F75+G75+H75+I75</f>
        <v>20</v>
      </c>
      <c r="E75" s="86">
        <v>20</v>
      </c>
      <c r="F75" s="86">
        <v>0</v>
      </c>
      <c r="G75" s="86">
        <v>0</v>
      </c>
      <c r="H75" s="86">
        <v>0</v>
      </c>
      <c r="I75" s="86">
        <v>0</v>
      </c>
      <c r="J75" s="85"/>
      <c r="K75" s="85"/>
    </row>
    <row r="76" spans="1:11" x14ac:dyDescent="0.25">
      <c r="A76" s="179"/>
      <c r="B76" s="117" t="s">
        <v>67</v>
      </c>
      <c r="C76" s="178" t="str">
        <f>Calculations!$C$5</f>
        <v>2010-16</v>
      </c>
      <c r="D76" s="53">
        <f t="shared" ref="D76:I76" si="7">D75-D74</f>
        <v>-9</v>
      </c>
      <c r="E76" s="53">
        <f t="shared" si="7"/>
        <v>-9</v>
      </c>
      <c r="F76" s="53">
        <f t="shared" si="7"/>
        <v>0</v>
      </c>
      <c r="G76" s="53">
        <f t="shared" si="7"/>
        <v>0</v>
      </c>
      <c r="H76" s="53">
        <f t="shared" si="7"/>
        <v>0</v>
      </c>
      <c r="I76" s="53">
        <f t="shared" si="7"/>
        <v>0</v>
      </c>
      <c r="J76" s="85"/>
      <c r="K76" s="85"/>
    </row>
    <row r="77" spans="1:11" x14ac:dyDescent="0.25">
      <c r="A77" s="59" t="b">
        <v>1</v>
      </c>
      <c r="B77" s="117" t="s">
        <v>44</v>
      </c>
      <c r="C77" s="178" t="str">
        <f>Calculations!$C$2</f>
        <v>2016</v>
      </c>
      <c r="D77" s="53">
        <f t="shared" ref="D77:I77" si="8">D73+D76</f>
        <v>50</v>
      </c>
      <c r="E77" s="53">
        <f t="shared" si="8"/>
        <v>21</v>
      </c>
      <c r="F77" s="53">
        <f t="shared" si="8"/>
        <v>0</v>
      </c>
      <c r="G77" s="53">
        <f t="shared" si="8"/>
        <v>28</v>
      </c>
      <c r="H77" s="53">
        <f t="shared" si="8"/>
        <v>0</v>
      </c>
      <c r="I77" s="53">
        <f t="shared" si="8"/>
        <v>1</v>
      </c>
      <c r="J77" s="85"/>
      <c r="K77" s="85"/>
    </row>
  </sheetData>
  <mergeCells count="7">
    <mergeCell ref="A71:K71"/>
    <mergeCell ref="A10:K10"/>
    <mergeCell ref="A19:K19"/>
    <mergeCell ref="A39:K39"/>
    <mergeCell ref="A32:K32"/>
    <mergeCell ref="A51:K51"/>
    <mergeCell ref="A64:K64"/>
  </mergeCells>
  <printOptions headings="1" gridLines="1"/>
  <pageMargins left="0.2" right="0.2" top="0.16" bottom="0.17" header="0.3" footer="0.17"/>
  <pageSetup paperSize="17" scale="67" fitToWidth="2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showFormulas="1" topLeftCell="D1" zoomScale="70" zoomScaleNormal="70" zoomScaleSheetLayoutView="100" workbookViewId="0">
      <selection activeCell="D8" sqref="D8"/>
    </sheetView>
  </sheetViews>
  <sheetFormatPr defaultColWidth="4.7109375" defaultRowHeight="15" x14ac:dyDescent="0.25"/>
  <cols>
    <col min="1" max="1" width="4.7109375" style="40" customWidth="1"/>
    <col min="2" max="2" width="22.7109375" style="85" customWidth="1"/>
    <col min="3" max="3" width="81.140625" style="85" customWidth="1"/>
    <col min="4" max="4" width="66.42578125" style="171" customWidth="1"/>
    <col min="5" max="5" width="54.42578125" style="85" customWidth="1"/>
    <col min="6" max="6" width="67.28515625" style="85" customWidth="1"/>
    <col min="7" max="7" width="65" style="85" customWidth="1"/>
    <col min="8" max="8" width="57.5703125" style="85" customWidth="1"/>
    <col min="9" max="9" width="111.85546875" style="85" customWidth="1"/>
    <col min="10" max="16384" width="4.7109375" style="85"/>
  </cols>
  <sheetData>
    <row r="1" spans="1:9" s="177" customFormat="1" x14ac:dyDescent="0.25">
      <c r="A1" s="138" t="s">
        <v>147</v>
      </c>
      <c r="B1" s="76" t="s">
        <v>143</v>
      </c>
      <c r="C1" s="29" t="s">
        <v>92</v>
      </c>
      <c r="D1" s="116" t="s">
        <v>78</v>
      </c>
      <c r="E1" s="29" t="s">
        <v>23</v>
      </c>
      <c r="F1" s="29" t="s">
        <v>50</v>
      </c>
      <c r="G1" s="29" t="s">
        <v>96</v>
      </c>
      <c r="H1" s="29" t="s">
        <v>112</v>
      </c>
    </row>
    <row r="2" spans="1:9" s="157" customFormat="1" x14ac:dyDescent="0.25">
      <c r="A2" s="131"/>
      <c r="B2" s="117" t="s">
        <v>140</v>
      </c>
      <c r="C2" s="53">
        <f>D2+E2+F2+G2</f>
        <v>815</v>
      </c>
      <c r="D2" s="164">
        <f>Detail!E$9</f>
        <v>683</v>
      </c>
      <c r="E2" s="66">
        <f>Detail!F$9</f>
        <v>18</v>
      </c>
      <c r="F2" s="66">
        <f>Detail!I9</f>
        <v>33</v>
      </c>
      <c r="G2" s="66">
        <f>Detail!J9</f>
        <v>81</v>
      </c>
      <c r="H2" s="53">
        <f>E2+F2+G2</f>
        <v>132</v>
      </c>
    </row>
    <row r="3" spans="1:9" s="157" customFormat="1" x14ac:dyDescent="0.25">
      <c r="A3" s="131"/>
      <c r="B3" s="117" t="s">
        <v>13</v>
      </c>
      <c r="C3" s="53">
        <f>D3+E3+F3+G3</f>
        <v>675</v>
      </c>
      <c r="D3" s="30">
        <f>IF(OR(Detail!$A$28, Detail!$A$29), Detail!E$16, IF(Detail!$A$30, Detail!E$17, IF(Detail!$A$31, Detail!E$18, Detail!E$17)))</f>
        <v>576</v>
      </c>
      <c r="E3" s="164">
        <f>IF(OR(Detail!$A$28, Detail!$A$29 ), Detail!F$16, IF(Detail!$A$30, Detail!F$17, IF(Detail!$A$31, Detail!F$18, Detail!F$17)))</f>
        <v>14</v>
      </c>
      <c r="F3" s="164">
        <f>IF(OR(Detail!$A$28, Detail!$A$29 ), Detail!I$16, IF(Detail!$A$30, Detail!I$17, IF(Detail!$A$31, Detail!I$18, Detail!I$17)))</f>
        <v>22</v>
      </c>
      <c r="G3" s="164">
        <f>IF(OR(Detail!$A$28, Detail!$A$29 ), Detail!J$16, IF(Detail!$A$30, Detail!J$17, IF(Detail!$A$31, Detail!J$18, Detail!J$17)))</f>
        <v>63</v>
      </c>
      <c r="H3" s="53">
        <f>E3+F3+G3</f>
        <v>99</v>
      </c>
    </row>
    <row r="4" spans="1:9" s="157" customFormat="1" x14ac:dyDescent="0.25">
      <c r="A4" s="131"/>
      <c r="B4" s="117" t="s">
        <v>98</v>
      </c>
      <c r="C4" s="61">
        <f>ROUND(IF(SUM(IF(D3&gt;0,1,0),IF(E3&gt;0,1,0),IF(F3&gt;0,1,0),IF(G3&gt;0,1,0))&gt;1, IF(C2 &lt;&gt; 0, C3/C2, 0), IF(D3&lt;&gt;0, D4, IF(E3&lt;&gt;0, E4, IF(F3&lt;&gt;0, F4, IF(G3&lt;&gt;0, G4, 0))))), 6)</f>
        <v>0.82822099999999998</v>
      </c>
      <c r="D4" s="172">
        <f>ROUND(IF(OR(Detail!$A$28, Detail!$A$29), Detail!E$12, IF(Detail!$A$30, Detail!E$13, IF(Detail!$A$31, Detail!E$14, Detail!E$13))), 6)</f>
        <v>0.84387599999999996</v>
      </c>
      <c r="E4" s="172">
        <f>ROUND(IF(OR(Detail!$A$28, Detail!$A$29 ), Detail!F$12, IF(Detail!$A$30, Detail!F$13, IF(Detail!$A$31, Detail!F$14, Detail!F$13))), 6)</f>
        <v>0.77777799999999997</v>
      </c>
      <c r="F4" s="172">
        <f>ROUND(IF(OR(Detail!$A$28, Detail!$A$29 ), Detail!I$12, IF(Detail!$A$30, Detail!I$13, IF(Detail!$A$31, Detail!I$14, Detail!I$13))), 6)</f>
        <v>0.66666700000000001</v>
      </c>
      <c r="G4" s="172">
        <f>ROUND(IF(OR(Detail!$A$28, Detail!$A$29 ), Detail!J$12, IF(Detail!$A$30, Detail!J$13, IF(Detail!$A$31, Detail!J$14, Detail!J$13))), 6)</f>
        <v>0.77777799999999997</v>
      </c>
      <c r="H4" s="61">
        <f>ROUND(IF(SUM(IF(E3&gt;0,1,0),IF(F3&gt;0,1,0),IF(G3&gt;0,1,0))&gt;1, IF(H2 &lt;&gt; 0, H3/H2, 0), IF(E3&lt;&gt;0, E4, IF(F3&lt;&gt;0, F4, IF(G3&lt;&gt;0, G4, 0)))), 6)</f>
        <v>0.75</v>
      </c>
    </row>
    <row r="5" spans="1:9" s="157" customFormat="1" x14ac:dyDescent="0.25">
      <c r="A5" s="131"/>
      <c r="B5" s="117" t="s">
        <v>33</v>
      </c>
      <c r="C5" s="53">
        <f>D5+E5+F5+G5</f>
        <v>1459</v>
      </c>
      <c r="D5" s="164">
        <f>IF(Detail!$A$28, Detail!E$28, IF(Detail!$A$29, Detail!E$29, IF(Detail!$A$30, Detail!E$30, IF(Detail!$A$31, Detail!E$31, Detail!E$30))))</f>
        <v>1300</v>
      </c>
      <c r="E5" s="164">
        <f>IF(Detail!$A$28, Detail!F$28, IF(Detail!$A$29, Detail!F$29, IF(Detail!$A$30, Detail!F$30, IF(Detail!$A$31, Detail!F$31, Detail!F$30))))</f>
        <v>27</v>
      </c>
      <c r="F5" s="164">
        <f>IF(Detail!$A$28, Detail!I$28, IF(Detail!$A$29, Detail!I$29, IF(Detail!$A$30, Detail!I$30, IF(Detail!$A$31, Detail!I$31, Detail!I$30))))</f>
        <v>32</v>
      </c>
      <c r="G5" s="164">
        <f>IF(Detail!$A$28, Detail!J$28, IF(Detail!$A$29, Detail!J$29, IF(Detail!$A$30, Detail!J$30, IF(Detail!$A$31, Detail!J$31, Detail!J$30))))</f>
        <v>100</v>
      </c>
      <c r="H5" s="53">
        <f>E5+F5+G5</f>
        <v>159</v>
      </c>
    </row>
    <row r="6" spans="1:9" s="157" customFormat="1" x14ac:dyDescent="0.25">
      <c r="A6" s="131"/>
      <c r="B6" s="117" t="s">
        <v>146</v>
      </c>
      <c r="C6" s="51">
        <f>ROUND(IF(C3&lt;&gt;0, C5/C3, 0), 6)</f>
        <v>2.1614810000000002</v>
      </c>
      <c r="D6" s="158">
        <f>ROUND(IF(Detail!$A$28, Detail!E$22, IF(Detail!$A$29, Detail!E$25, IF(Detail!$A$30, Detail!E$26, IF(Detail!$A$31, Detail!E$27, Detail!E$26)))), 6)</f>
        <v>2.2569439999999998</v>
      </c>
      <c r="E6" s="158">
        <f>ROUND(IF(Detail!$A$28, Detail!F$22, IF(Detail!$A$29, Detail!F$25, IF(Detail!$A$30, Detail!F$26, IF(Detail!$A$31, Detail!F$27, Detail!F$26)))), 6)</f>
        <v>1.928571</v>
      </c>
      <c r="F6" s="158">
        <f>ROUND(IF(Detail!$A$28, Detail!I$22, IF(Detail!$A$29, Detail!I$25, IF(Detail!$A$30, Detail!I$26, IF(Detail!$A$31, Detail!I$27, Detail!I$26)))), 6)</f>
        <v>1.454545</v>
      </c>
      <c r="G6" s="158">
        <f>ROUND(IF(Detail!$A$28, Detail!J$22, IF(Detail!$A$29, Detail!J$25, IF(Detail!$A$30, Detail!J$26, IF(Detail!$A$31, Detail!J$27, Detail!J$26)))), 6)</f>
        <v>1.587302</v>
      </c>
      <c r="H6" s="51">
        <f>ROUND(IF(H3&lt;&gt;0, H5/H3, 0), 6)</f>
        <v>1.606061</v>
      </c>
    </row>
    <row r="7" spans="1:9" s="157" customFormat="1" x14ac:dyDescent="0.25">
      <c r="A7" s="180" t="s">
        <v>125</v>
      </c>
      <c r="B7" s="180"/>
      <c r="C7" s="180"/>
      <c r="D7" s="180"/>
      <c r="E7" s="180"/>
      <c r="F7" s="180"/>
      <c r="G7" s="180"/>
      <c r="H7" s="180"/>
    </row>
    <row r="8" spans="1:9" s="157" customFormat="1" x14ac:dyDescent="0.25">
      <c r="A8" s="131"/>
      <c r="B8" s="117" t="s">
        <v>140</v>
      </c>
      <c r="C8" s="53">
        <f>D8+E8+F8+G8</f>
        <v>0</v>
      </c>
      <c r="D8" s="4">
        <v>0</v>
      </c>
      <c r="E8" s="86">
        <v>0</v>
      </c>
      <c r="F8" s="86">
        <v>0</v>
      </c>
      <c r="G8" s="86">
        <v>0</v>
      </c>
      <c r="H8" s="53">
        <f>E8+F8+G8</f>
        <v>0</v>
      </c>
    </row>
    <row r="9" spans="1:9" s="157" customFormat="1" x14ac:dyDescent="0.25">
      <c r="A9" s="131"/>
      <c r="B9" s="117" t="s">
        <v>13</v>
      </c>
      <c r="C9" s="53">
        <f>D9+E9+F9+G9</f>
        <v>0</v>
      </c>
      <c r="D9" s="4">
        <v>0</v>
      </c>
      <c r="E9" s="86">
        <v>0</v>
      </c>
      <c r="F9" s="86">
        <v>0</v>
      </c>
      <c r="G9" s="86">
        <v>0</v>
      </c>
      <c r="H9" s="53">
        <f>E9+F9+G9</f>
        <v>0</v>
      </c>
    </row>
    <row r="10" spans="1:9" s="157" customFormat="1" x14ac:dyDescent="0.25">
      <c r="A10" s="131"/>
      <c r="B10" s="117" t="s">
        <v>33</v>
      </c>
      <c r="C10" s="53">
        <f>D10+E10+F10+G10</f>
        <v>0</v>
      </c>
      <c r="D10" s="4">
        <v>0</v>
      </c>
      <c r="E10" s="86">
        <v>0</v>
      </c>
      <c r="F10" s="86">
        <v>0</v>
      </c>
      <c r="G10" s="86">
        <v>0</v>
      </c>
      <c r="H10" s="53">
        <f>E10+F10+G10</f>
        <v>0</v>
      </c>
    </row>
    <row r="11" spans="1:9" s="157" customFormat="1" x14ac:dyDescent="0.25">
      <c r="A11" s="180" t="s">
        <v>125</v>
      </c>
      <c r="B11" s="180"/>
      <c r="C11" s="180"/>
      <c r="D11" s="180"/>
      <c r="E11" s="180"/>
      <c r="F11" s="180"/>
      <c r="G11" s="180"/>
      <c r="H11" s="180"/>
    </row>
    <row r="12" spans="1:9" s="157" customFormat="1" x14ac:dyDescent="0.25">
      <c r="A12" s="131"/>
      <c r="B12" s="117" t="s">
        <v>140</v>
      </c>
      <c r="C12" s="53">
        <f>D12+E12+F12+G12</f>
        <v>0</v>
      </c>
      <c r="D12" s="4">
        <v>0</v>
      </c>
      <c r="E12" s="86">
        <v>0</v>
      </c>
      <c r="F12" s="86">
        <v>0</v>
      </c>
      <c r="G12" s="86">
        <v>0</v>
      </c>
      <c r="H12" s="53">
        <f>E12+F12+G12</f>
        <v>0</v>
      </c>
    </row>
    <row r="13" spans="1:9" s="157" customFormat="1" x14ac:dyDescent="0.25">
      <c r="A13" s="131"/>
      <c r="B13" s="117" t="s">
        <v>13</v>
      </c>
      <c r="C13" s="53">
        <f>D13+E13+F13+G13</f>
        <v>0</v>
      </c>
      <c r="D13" s="4">
        <v>0</v>
      </c>
      <c r="E13" s="86">
        <v>0</v>
      </c>
      <c r="F13" s="86">
        <v>0</v>
      </c>
      <c r="G13" s="86">
        <v>0</v>
      </c>
      <c r="H13" s="53">
        <f>E13+F13+G13</f>
        <v>0</v>
      </c>
      <c r="I13" s="149"/>
    </row>
    <row r="14" spans="1:9" s="157" customFormat="1" x14ac:dyDescent="0.25">
      <c r="A14" s="131"/>
      <c r="B14" s="117" t="s">
        <v>33</v>
      </c>
      <c r="C14" s="53">
        <f>D14+E14+F14+G14</f>
        <v>0</v>
      </c>
      <c r="D14" s="4">
        <v>0</v>
      </c>
      <c r="E14" s="86">
        <v>0</v>
      </c>
      <c r="F14" s="86">
        <v>0</v>
      </c>
      <c r="G14" s="86">
        <v>0</v>
      </c>
      <c r="H14" s="53">
        <f>E14+F14+G14</f>
        <v>0</v>
      </c>
    </row>
    <row r="15" spans="1:9" s="157" customFormat="1" x14ac:dyDescent="0.25">
      <c r="A15" s="180" t="s">
        <v>125</v>
      </c>
      <c r="B15" s="180"/>
      <c r="C15" s="180"/>
      <c r="D15" s="180"/>
      <c r="E15" s="180"/>
      <c r="F15" s="180"/>
      <c r="G15" s="180"/>
      <c r="H15" s="180"/>
    </row>
    <row r="16" spans="1:9" s="157" customFormat="1" x14ac:dyDescent="0.25">
      <c r="A16" s="131"/>
      <c r="B16" s="117" t="s">
        <v>140</v>
      </c>
      <c r="C16" s="53">
        <f t="shared" ref="C16:H17" si="0">C2+C8+C12</f>
        <v>815</v>
      </c>
      <c r="D16" s="132">
        <f t="shared" si="0"/>
        <v>683</v>
      </c>
      <c r="E16" s="53">
        <f t="shared" si="0"/>
        <v>18</v>
      </c>
      <c r="F16" s="53">
        <f t="shared" si="0"/>
        <v>33</v>
      </c>
      <c r="G16" s="53">
        <f t="shared" si="0"/>
        <v>81</v>
      </c>
      <c r="H16" s="53">
        <f t="shared" si="0"/>
        <v>132</v>
      </c>
    </row>
    <row r="17" spans="1:8" s="157" customFormat="1" x14ac:dyDescent="0.25">
      <c r="A17" s="131"/>
      <c r="B17" s="117" t="s">
        <v>13</v>
      </c>
      <c r="C17" s="53">
        <f t="shared" si="0"/>
        <v>675</v>
      </c>
      <c r="D17" s="132">
        <f t="shared" si="0"/>
        <v>576</v>
      </c>
      <c r="E17" s="53">
        <f t="shared" si="0"/>
        <v>14</v>
      </c>
      <c r="F17" s="53">
        <f t="shared" si="0"/>
        <v>22</v>
      </c>
      <c r="G17" s="53">
        <f t="shared" si="0"/>
        <v>63</v>
      </c>
      <c r="H17" s="53">
        <f t="shared" si="0"/>
        <v>99</v>
      </c>
    </row>
    <row r="18" spans="1:8" s="157" customFormat="1" x14ac:dyDescent="0.25">
      <c r="A18" s="131"/>
      <c r="B18" s="117" t="s">
        <v>98</v>
      </c>
      <c r="C18" s="61">
        <f>ROUND(IF(SUM(C$9,C$13)&gt;0, IF(C16&lt;&gt;0, C17/C16, 0), C4), 6)</f>
        <v>0.82822099999999998</v>
      </c>
      <c r="D18" s="147">
        <f>ROUND(IF(SUM(D$9,D$13)&gt;0, IF(D16&lt;&gt;0, D17/D16), D4), 6)</f>
        <v>0.84387599999999996</v>
      </c>
      <c r="E18" s="147">
        <f>ROUND(IF(SUM(E$9,E$13)&gt;0, IF(E16&lt;&gt;0, E17/E16), E4), 6)</f>
        <v>0.77777799999999997</v>
      </c>
      <c r="F18" s="147">
        <f>ROUND(IF(SUM(F$9,F$13)&gt;0, IF(F16&lt;&gt;0, F17/F16), F4), 6)</f>
        <v>0.66666700000000001</v>
      </c>
      <c r="G18" s="147">
        <f>ROUND(IF(SUM(G$9,G$13)&gt;0, IF(G16&lt;&gt;0, G17/G16), G4), 6)</f>
        <v>0.77777799999999997</v>
      </c>
      <c r="H18" s="147">
        <f>ROUND(IF(SUM(H$9,H$13)&gt;0, IF(H16&lt;&gt;0, H17/H16), H4), 6)</f>
        <v>0.75</v>
      </c>
    </row>
    <row r="19" spans="1:8" s="157" customFormat="1" x14ac:dyDescent="0.25">
      <c r="A19" s="131"/>
      <c r="B19" s="117" t="s">
        <v>33</v>
      </c>
      <c r="C19" s="53">
        <f t="shared" ref="C19:H19" si="1">C5+C10+C14</f>
        <v>1459</v>
      </c>
      <c r="D19" s="132">
        <f t="shared" si="1"/>
        <v>1300</v>
      </c>
      <c r="E19" s="132">
        <f t="shared" si="1"/>
        <v>27</v>
      </c>
      <c r="F19" s="132">
        <f t="shared" si="1"/>
        <v>32</v>
      </c>
      <c r="G19" s="132">
        <f t="shared" si="1"/>
        <v>100</v>
      </c>
      <c r="H19" s="132">
        <f t="shared" si="1"/>
        <v>159</v>
      </c>
    </row>
    <row r="20" spans="1:8" s="157" customFormat="1" x14ac:dyDescent="0.25">
      <c r="A20" s="131"/>
      <c r="B20" s="117" t="s">
        <v>146</v>
      </c>
      <c r="C20" s="51">
        <f>ROUND(IF(SUM(C$9,C$13)&gt;0, IF(C18&lt;&gt;0, C19/C17, 0), C6), 6)</f>
        <v>2.1614810000000002</v>
      </c>
      <c r="D20" s="129">
        <f>ROUND(IF(SUM(D$9,D$13)&gt;0, IF(D18&lt;&gt;0, D19/D17), D6), 6)</f>
        <v>2.2569439999999998</v>
      </c>
      <c r="E20" s="129">
        <f>ROUND(IF(SUM(E$9,E$13)&gt;0, IF(E18&lt;&gt;0, E19/E17), E6), 6)</f>
        <v>1.928571</v>
      </c>
      <c r="F20" s="129">
        <f>ROUND(IF(SUM(F$9,F$13)&gt;0, IF(F18&lt;&gt;0, F19/F17), F6), 6)</f>
        <v>1.454545</v>
      </c>
      <c r="G20" s="129">
        <f>ROUND(IF(SUM(G$9,G$13)&gt;0, IF(G18&lt;&gt;0, G19/G17), G6), 6)</f>
        <v>1.587302</v>
      </c>
      <c r="H20" s="129">
        <f>ROUND(IF(SUM(H$9,H$13)&gt;0, IF(H18&lt;&gt;0, H19/H17), H6), 6)</f>
        <v>1.606061</v>
      </c>
    </row>
    <row r="21" spans="1:8" x14ac:dyDescent="0.25">
      <c r="A21" s="180" t="s">
        <v>54</v>
      </c>
      <c r="B21" s="180"/>
      <c r="C21" s="180"/>
      <c r="D21" s="180"/>
      <c r="E21" s="180"/>
      <c r="F21" s="180"/>
      <c r="G21" s="180"/>
      <c r="H21" s="180"/>
    </row>
    <row r="22" spans="1:8" s="177" customFormat="1" x14ac:dyDescent="0.25">
      <c r="A22" s="138" t="s">
        <v>147</v>
      </c>
      <c r="B22" s="76" t="s">
        <v>143</v>
      </c>
      <c r="C22" s="29" t="s">
        <v>92</v>
      </c>
      <c r="D22" s="116" t="s">
        <v>101</v>
      </c>
      <c r="E22" s="29" t="s">
        <v>12</v>
      </c>
      <c r="F22" s="29"/>
      <c r="G22" s="29"/>
      <c r="H22" s="29"/>
    </row>
    <row r="23" spans="1:8" s="157" customFormat="1" x14ac:dyDescent="0.25">
      <c r="A23" s="131"/>
      <c r="B23" s="117" t="s">
        <v>140</v>
      </c>
      <c r="C23" s="53">
        <f>D23+E23</f>
        <v>82</v>
      </c>
      <c r="D23" s="164">
        <f>Detail!D38</f>
        <v>77</v>
      </c>
      <c r="E23" s="66">
        <f>Detail!D70</f>
        <v>5</v>
      </c>
      <c r="F23" s="124"/>
      <c r="G23" s="124"/>
      <c r="H23" s="124"/>
    </row>
    <row r="24" spans="1:8" s="157" customFormat="1" x14ac:dyDescent="0.25">
      <c r="A24" s="131"/>
      <c r="B24" s="117" t="s">
        <v>13</v>
      </c>
      <c r="C24" s="53">
        <f>D24+E24</f>
        <v>73</v>
      </c>
      <c r="D24" s="164">
        <f>IF(OR(Detail!$A$60, Detail!$A$61 ), Detail!D$47, IF(Detail!$A$62, Detail!D$48, IF(Detail!$A$63, Detail!D$50, Detail!D$48)))</f>
        <v>68</v>
      </c>
      <c r="E24" s="66">
        <f>Detail!E70</f>
        <v>5</v>
      </c>
      <c r="F24" s="124"/>
      <c r="G24" s="124"/>
      <c r="H24" s="124"/>
    </row>
    <row r="25" spans="1:8" s="157" customFormat="1" x14ac:dyDescent="0.25">
      <c r="A25" s="131"/>
      <c r="B25" s="117" t="s">
        <v>98</v>
      </c>
      <c r="C25" s="61">
        <f>ROUND(IF(OR(SUM(D24,E24)=0, E24=0), D25, IF(D24=0, E25, IF(C23&lt;&gt;0, C24/C23, 0))), 6)</f>
        <v>0.89024400000000004</v>
      </c>
      <c r="D25" s="172">
        <f>ROUND(IF(OR(Detail!$A$60, Detail!$A$61 ), Detail!D$41, IF(Detail!$A$62, Detail!D$42, IF(Detail!$A$63, Detail!D$45, Detail!D$42))), 6)</f>
        <v>0.885911</v>
      </c>
      <c r="E25" s="61">
        <f>ROUND(IF(E23&lt;&gt;0, E24/E23, 0), 6)</f>
        <v>1</v>
      </c>
      <c r="F25" s="124"/>
      <c r="G25" s="124"/>
      <c r="H25" s="124"/>
    </row>
    <row r="26" spans="1:8" s="157" customFormat="1" x14ac:dyDescent="0.25">
      <c r="A26" s="131"/>
      <c r="B26" s="117" t="s">
        <v>33</v>
      </c>
      <c r="C26" s="53">
        <f>D26+E26</f>
        <v>149</v>
      </c>
      <c r="D26" s="164">
        <f>IF(Detail!$A$60, Detail!D$60, IF(Detail!$A$61, Detail!D$61, IF(Detail!$A$62, Detail!D$62, IF(Detail!$A$63, Detail!D$63, Detail!D$62))))</f>
        <v>142</v>
      </c>
      <c r="E26" s="66">
        <f>Detail!G70</f>
        <v>7</v>
      </c>
      <c r="F26" s="124"/>
      <c r="G26" s="124"/>
      <c r="H26" s="124"/>
    </row>
    <row r="27" spans="1:8" s="157" customFormat="1" x14ac:dyDescent="0.25">
      <c r="A27" s="131"/>
      <c r="B27" s="117" t="s">
        <v>146</v>
      </c>
      <c r="C27" s="51">
        <f>ROUND(IF(OR(SUM(D26,E26)=0, E26=0), D27, IF(D26=0, E27, IF(C24&lt;&gt;0, C26/C24, 0))), 6)</f>
        <v>2.041096</v>
      </c>
      <c r="D27" s="158">
        <f>ROUND(IF(Detail!$A$60, Detail!D$54, IF(Detail!$A$61, Detail!D$57, IF(Detail!$A$62, Detail!D$58, IF(Detail!$A$63, Detail!D$59, Detail!D$58)))), 6)</f>
        <v>2.0845069999999999</v>
      </c>
      <c r="E27" s="51">
        <f>ROUND(IF(E24&lt;&gt;0, E26/E24, 0), 6)</f>
        <v>1.4</v>
      </c>
      <c r="F27" s="124"/>
      <c r="G27" s="124"/>
      <c r="H27" s="124"/>
    </row>
    <row r="28" spans="1:8" s="157" customFormat="1" x14ac:dyDescent="0.25">
      <c r="A28" s="180" t="s">
        <v>125</v>
      </c>
      <c r="B28" s="180"/>
      <c r="C28" s="180"/>
      <c r="D28" s="180"/>
      <c r="E28" s="180"/>
      <c r="F28" s="180"/>
      <c r="G28" s="180"/>
      <c r="H28" s="180"/>
    </row>
    <row r="29" spans="1:8" s="157" customFormat="1" x14ac:dyDescent="0.25">
      <c r="A29" s="131"/>
      <c r="B29" s="117" t="s">
        <v>140</v>
      </c>
      <c r="C29" s="53">
        <f>D29+E29</f>
        <v>0</v>
      </c>
      <c r="D29" s="4">
        <v>0</v>
      </c>
      <c r="E29" s="86">
        <v>0</v>
      </c>
      <c r="F29" s="133"/>
      <c r="G29" s="133"/>
      <c r="H29" s="133"/>
    </row>
    <row r="30" spans="1:8" s="157" customFormat="1" x14ac:dyDescent="0.25">
      <c r="A30" s="131"/>
      <c r="B30" s="117" t="s">
        <v>13</v>
      </c>
      <c r="C30" s="53">
        <f>D30+E30</f>
        <v>0</v>
      </c>
      <c r="D30" s="4">
        <v>0</v>
      </c>
      <c r="E30" s="86">
        <v>0</v>
      </c>
      <c r="F30" s="133"/>
      <c r="G30" s="133"/>
      <c r="H30" s="133"/>
    </row>
    <row r="31" spans="1:8" s="157" customFormat="1" x14ac:dyDescent="0.25">
      <c r="A31" s="131"/>
      <c r="B31" s="117" t="s">
        <v>33</v>
      </c>
      <c r="C31" s="53">
        <f>D31+E31</f>
        <v>0</v>
      </c>
      <c r="D31" s="4">
        <v>0</v>
      </c>
      <c r="E31" s="86">
        <v>0</v>
      </c>
      <c r="F31" s="133"/>
      <c r="G31" s="133"/>
      <c r="H31" s="133"/>
    </row>
    <row r="32" spans="1:8" s="157" customFormat="1" x14ac:dyDescent="0.25">
      <c r="A32" s="180" t="s">
        <v>125</v>
      </c>
      <c r="B32" s="180"/>
      <c r="C32" s="180"/>
      <c r="D32" s="180"/>
      <c r="E32" s="180"/>
      <c r="F32" s="180"/>
      <c r="G32" s="180"/>
      <c r="H32" s="180"/>
    </row>
    <row r="33" spans="1:9" s="157" customFormat="1" x14ac:dyDescent="0.25">
      <c r="A33" s="131"/>
      <c r="B33" s="117" t="s">
        <v>140</v>
      </c>
      <c r="C33" s="53">
        <f>D33+E33</f>
        <v>0</v>
      </c>
      <c r="D33" s="4">
        <v>0</v>
      </c>
      <c r="E33" s="86">
        <v>0</v>
      </c>
      <c r="F33" s="133"/>
      <c r="G33" s="133"/>
      <c r="H33" s="133"/>
    </row>
    <row r="34" spans="1:9" s="157" customFormat="1" x14ac:dyDescent="0.25">
      <c r="A34" s="131"/>
      <c r="B34" s="117" t="s">
        <v>13</v>
      </c>
      <c r="C34" s="53">
        <f>D34+E34</f>
        <v>0</v>
      </c>
      <c r="D34" s="4">
        <v>0</v>
      </c>
      <c r="E34" s="86">
        <v>0</v>
      </c>
      <c r="F34" s="133"/>
      <c r="G34" s="133"/>
      <c r="H34" s="133"/>
      <c r="I34" s="149"/>
    </row>
    <row r="35" spans="1:9" s="157" customFormat="1" x14ac:dyDescent="0.25">
      <c r="A35" s="131"/>
      <c r="B35" s="117" t="s">
        <v>33</v>
      </c>
      <c r="C35" s="53">
        <f>D35+E35</f>
        <v>0</v>
      </c>
      <c r="D35" s="4">
        <v>0</v>
      </c>
      <c r="E35" s="86">
        <v>0</v>
      </c>
      <c r="F35" s="133"/>
      <c r="G35" s="133"/>
      <c r="H35" s="133"/>
    </row>
    <row r="36" spans="1:9" s="157" customFormat="1" x14ac:dyDescent="0.25">
      <c r="A36" s="180" t="s">
        <v>125</v>
      </c>
      <c r="B36" s="180"/>
      <c r="C36" s="180"/>
      <c r="D36" s="180"/>
      <c r="E36" s="180"/>
      <c r="F36" s="180"/>
      <c r="G36" s="180"/>
      <c r="H36" s="180"/>
    </row>
    <row r="37" spans="1:9" s="157" customFormat="1" x14ac:dyDescent="0.25">
      <c r="A37" s="131"/>
      <c r="B37" s="117" t="s">
        <v>140</v>
      </c>
      <c r="C37" s="53">
        <f t="shared" ref="C37:E38" si="2">C23+C29+C33</f>
        <v>82</v>
      </c>
      <c r="D37" s="53">
        <f t="shared" si="2"/>
        <v>77</v>
      </c>
      <c r="E37" s="53">
        <f t="shared" si="2"/>
        <v>5</v>
      </c>
      <c r="F37" s="124"/>
      <c r="G37" s="124"/>
      <c r="H37" s="124"/>
    </row>
    <row r="38" spans="1:9" s="157" customFormat="1" x14ac:dyDescent="0.25">
      <c r="A38" s="131"/>
      <c r="B38" s="117" t="s">
        <v>13</v>
      </c>
      <c r="C38" s="53">
        <f t="shared" si="2"/>
        <v>73</v>
      </c>
      <c r="D38" s="53">
        <f t="shared" si="2"/>
        <v>68</v>
      </c>
      <c r="E38" s="53">
        <f t="shared" si="2"/>
        <v>5</v>
      </c>
      <c r="F38" s="124"/>
      <c r="G38" s="124"/>
      <c r="H38" s="124"/>
    </row>
    <row r="39" spans="1:9" s="157" customFormat="1" x14ac:dyDescent="0.25">
      <c r="A39" s="131"/>
      <c r="B39" s="117" t="s">
        <v>98</v>
      </c>
      <c r="C39" s="61">
        <f>ROUND(IF(SUM(C$30, C$34)&gt;0, IF(C37&lt;&gt;0, C38/C37, 0), C25), 6)</f>
        <v>0.89024400000000004</v>
      </c>
      <c r="D39" s="61">
        <f>ROUND(IF(SUM(D$30, D$34)&gt;0, IF(D37&lt;&gt;0, D38/D37, 0), D25), 6)</f>
        <v>0.885911</v>
      </c>
      <c r="E39" s="61">
        <f>ROUND(IF(SUM(E$30, E$34)&gt;0, IF(E37&lt;&gt;0, E38/E37, 0), E25), 6)</f>
        <v>1</v>
      </c>
      <c r="F39" s="124"/>
      <c r="G39" s="124"/>
      <c r="H39" s="124"/>
    </row>
    <row r="40" spans="1:9" s="157" customFormat="1" x14ac:dyDescent="0.25">
      <c r="A40" s="131"/>
      <c r="B40" s="117" t="s">
        <v>33</v>
      </c>
      <c r="C40" s="53">
        <f>C26+C31+C35</f>
        <v>149</v>
      </c>
      <c r="D40" s="53">
        <f>D26+D31+D35</f>
        <v>142</v>
      </c>
      <c r="E40" s="53">
        <f>E26+E31+E35</f>
        <v>7</v>
      </c>
      <c r="F40" s="124"/>
      <c r="G40" s="124"/>
      <c r="H40" s="124"/>
    </row>
    <row r="41" spans="1:9" s="157" customFormat="1" x14ac:dyDescent="0.25">
      <c r="A41" s="131"/>
      <c r="B41" s="117" t="s">
        <v>146</v>
      </c>
      <c r="C41" s="51">
        <f>ROUND(IF(SUM(C$30, C$34)&gt;0, IF(C38&lt;&gt;0, C40/C38, 0), C27), 6)</f>
        <v>2.041096</v>
      </c>
      <c r="D41" s="51">
        <f>ROUND(IF(SUM(D$30, D$34)&gt;0, IF(D38&lt;&gt;0, D40/D38, 0), D27), 6)</f>
        <v>2.0845069999999999</v>
      </c>
      <c r="E41" s="51">
        <f>ROUND(IF(SUM(E$30, E$34)&gt;0, IF(E38&lt;&gt;0, E40/E38, 0), E27), 6)</f>
        <v>1.4</v>
      </c>
      <c r="F41" s="124"/>
      <c r="G41" s="124"/>
      <c r="H41" s="124"/>
    </row>
    <row r="42" spans="1:9" x14ac:dyDescent="0.25">
      <c r="A42" s="180" t="s">
        <v>54</v>
      </c>
      <c r="B42" s="180"/>
      <c r="C42" s="180"/>
      <c r="D42" s="180"/>
      <c r="E42" s="180"/>
      <c r="F42" s="180"/>
      <c r="G42" s="180"/>
      <c r="H42" s="180"/>
    </row>
    <row r="43" spans="1:9" x14ac:dyDescent="0.25">
      <c r="A43" s="138" t="s">
        <v>147</v>
      </c>
      <c r="B43" s="76" t="s">
        <v>143</v>
      </c>
      <c r="C43" s="29" t="s">
        <v>92</v>
      </c>
      <c r="D43" s="116" t="s">
        <v>5</v>
      </c>
      <c r="E43" s="29" t="s">
        <v>128</v>
      </c>
      <c r="F43" s="29" t="s">
        <v>40</v>
      </c>
      <c r="G43" s="29" t="s">
        <v>0</v>
      </c>
      <c r="H43" s="29" t="s">
        <v>41</v>
      </c>
    </row>
    <row r="44" spans="1:9" x14ac:dyDescent="0.25">
      <c r="A44" s="131"/>
      <c r="B44" s="117" t="s">
        <v>113</v>
      </c>
      <c r="C44" s="53">
        <f>D44+E44+F44+G44+H44</f>
        <v>50</v>
      </c>
      <c r="D44" s="164">
        <f>Detail!E77</f>
        <v>21</v>
      </c>
      <c r="E44" s="164">
        <f>Detail!F77</f>
        <v>0</v>
      </c>
      <c r="F44" s="164">
        <f>Detail!G77</f>
        <v>28</v>
      </c>
      <c r="G44" s="164">
        <f>Detail!H77</f>
        <v>0</v>
      </c>
      <c r="H44" s="164">
        <f>Detail!I77</f>
        <v>1</v>
      </c>
    </row>
    <row r="45" spans="1:9" x14ac:dyDescent="0.25">
      <c r="A45" s="131"/>
      <c r="B45" s="117" t="s">
        <v>48</v>
      </c>
      <c r="C45" s="53">
        <f>D45+E45+F45+G45+H45</f>
        <v>0</v>
      </c>
      <c r="D45" s="4">
        <v>0</v>
      </c>
      <c r="E45" s="86">
        <v>0</v>
      </c>
      <c r="F45" s="86">
        <v>0</v>
      </c>
      <c r="G45" s="86">
        <v>0</v>
      </c>
      <c r="H45" s="86">
        <v>0</v>
      </c>
    </row>
    <row r="46" spans="1:9" x14ac:dyDescent="0.25">
      <c r="A46" s="131"/>
      <c r="B46" s="117" t="s">
        <v>129</v>
      </c>
      <c r="C46" s="53">
        <f>D46+E46+F46+G46+H46</f>
        <v>50</v>
      </c>
      <c r="D46" s="132">
        <f>D44+D45</f>
        <v>21</v>
      </c>
      <c r="E46" s="132">
        <f>E44+E45</f>
        <v>0</v>
      </c>
      <c r="F46" s="132">
        <f>F44+F45</f>
        <v>28</v>
      </c>
      <c r="G46" s="132">
        <f>G44+G45</f>
        <v>0</v>
      </c>
      <c r="H46" s="132">
        <f>H44+H45</f>
        <v>1</v>
      </c>
    </row>
    <row r="47" spans="1:9" x14ac:dyDescent="0.25">
      <c r="A47" s="180" t="s">
        <v>54</v>
      </c>
      <c r="B47" s="180"/>
      <c r="C47" s="180"/>
      <c r="D47" s="180"/>
      <c r="E47" s="180"/>
      <c r="F47" s="180"/>
      <c r="G47" s="180"/>
      <c r="H47" s="180"/>
    </row>
    <row r="48" spans="1:9" x14ac:dyDescent="0.25">
      <c r="A48" s="138" t="s">
        <v>147</v>
      </c>
      <c r="B48" s="76" t="s">
        <v>143</v>
      </c>
      <c r="C48" s="29" t="s">
        <v>129</v>
      </c>
      <c r="D48" s="116" t="s">
        <v>106</v>
      </c>
      <c r="E48" s="29" t="s">
        <v>97</v>
      </c>
      <c r="F48" s="29" t="s">
        <v>146</v>
      </c>
      <c r="G48" s="29" t="s">
        <v>140</v>
      </c>
      <c r="H48" s="29" t="s">
        <v>13</v>
      </c>
      <c r="I48" s="29" t="s">
        <v>98</v>
      </c>
    </row>
    <row r="49" spans="1:9" x14ac:dyDescent="0.25">
      <c r="A49" s="131"/>
      <c r="B49" s="117" t="s">
        <v>113</v>
      </c>
      <c r="C49" s="53">
        <f>D49+E49</f>
        <v>1658</v>
      </c>
      <c r="D49" s="132">
        <f>C46</f>
        <v>50</v>
      </c>
      <c r="E49" s="53">
        <f>C19+C40</f>
        <v>1608</v>
      </c>
      <c r="F49" s="51">
        <f>ROUND(IF(AND(SUM($C9, $C13)=0, $C38=0), $C6, IF(AND(SUM($C30, $C34)=0, $C17=0), $C27, IF(H49&lt;&gt;0, E49/H49, 0))), 6)</f>
        <v>2.1497329999999999</v>
      </c>
      <c r="G49" s="53">
        <f>C16+C37</f>
        <v>897</v>
      </c>
      <c r="H49" s="53">
        <f>C17+C38</f>
        <v>748</v>
      </c>
      <c r="I49" s="61">
        <f>ROUND(IF(AND(SUM($C9, $C13)=0, $C38=0), $C4, IF(AND(SUM($C30, $C34)=0, $C17=0), $C25, IF(G49&lt;&gt;0, H49/G49, 0))), 6)</f>
        <v>0.83389100000000005</v>
      </c>
    </row>
    <row r="50" spans="1:9" x14ac:dyDescent="0.25">
      <c r="A50" s="131"/>
      <c r="B50" s="117" t="s">
        <v>29</v>
      </c>
      <c r="C50" s="53">
        <f>D50+E50</f>
        <v>1653</v>
      </c>
      <c r="D50" s="132">
        <f>C46</f>
        <v>50</v>
      </c>
      <c r="E50" s="53">
        <f>Calculations!C61 + Calculations!C71</f>
        <v>1603</v>
      </c>
      <c r="F50" s="168">
        <f>ROUND(IF(AND(SUM(Summary!$C9, Summary!$C13)=0, Calculations!$C69=0), Calculations!$C57, IF(AND(SUM(Summary!$C30, Summary!$C34)=0, Calculations!$C59=0), Calculations!$C67, IF(Summary!H50&lt;&gt;0, Summary!E50/Summary!H50, 0))), 6)</f>
        <v>2.1487940000000001</v>
      </c>
      <c r="G50" s="53">
        <f>Calculations!C58 + Calculations!C68</f>
        <v>897</v>
      </c>
      <c r="H50" s="53">
        <f>Calculations!C59 + Calculations!C69</f>
        <v>746</v>
      </c>
      <c r="I50" s="61">
        <f>ROUND(IF(AND(SUM(Summary!$C9, Summary!$C13)=0, Calculations!$C69=0), Calculations!$C55, IF(AND(SUM(Summary!$C30, Summary!$C34)=0, Calculations!$C59=0), Calculations!$C65, IF(Summary!G50&lt;&gt;0, Summary!H50/Summary!G50, 0))), 6)</f>
        <v>0.83166099999999998</v>
      </c>
    </row>
    <row r="51" spans="1:9" x14ac:dyDescent="0.25">
      <c r="A51" s="138" t="b">
        <v>0</v>
      </c>
      <c r="B51" s="117" t="s">
        <v>134</v>
      </c>
      <c r="C51" s="53">
        <f>C49</f>
        <v>1658</v>
      </c>
      <c r="D51" s="97"/>
      <c r="E51" s="9"/>
      <c r="F51" s="9"/>
      <c r="G51" s="9"/>
      <c r="H51" s="9"/>
      <c r="I51" s="34"/>
    </row>
    <row r="52" spans="1:9" x14ac:dyDescent="0.25">
      <c r="A52" s="138" t="b">
        <v>1</v>
      </c>
      <c r="B52" s="117" t="s">
        <v>139</v>
      </c>
      <c r="C52" s="66">
        <f>Calculations!C77</f>
        <v>1660</v>
      </c>
      <c r="D52" s="97"/>
      <c r="E52" s="9"/>
      <c r="F52" s="9"/>
      <c r="G52" s="9"/>
      <c r="H52" s="9"/>
      <c r="I52" s="34"/>
    </row>
    <row r="53" spans="1:9" x14ac:dyDescent="0.25">
      <c r="A53" s="138" t="b">
        <v>0</v>
      </c>
      <c r="B53" s="117" t="s">
        <v>59</v>
      </c>
      <c r="C53" s="5">
        <v>0</v>
      </c>
      <c r="D53" s="97"/>
      <c r="E53" s="9"/>
      <c r="F53" s="9"/>
      <c r="G53" s="9"/>
      <c r="H53" s="9"/>
      <c r="I53" s="34"/>
    </row>
    <row r="54" spans="1:9" x14ac:dyDescent="0.25">
      <c r="A54" s="138" t="b">
        <v>0</v>
      </c>
      <c r="B54" s="117" t="s">
        <v>42</v>
      </c>
      <c r="C54" s="5">
        <v>0</v>
      </c>
      <c r="D54" s="97"/>
      <c r="E54" s="9"/>
      <c r="F54" s="9"/>
      <c r="G54" s="9"/>
      <c r="H54" s="9"/>
      <c r="I54" s="34"/>
    </row>
    <row r="55" spans="1:9" x14ac:dyDescent="0.25">
      <c r="A55" s="131"/>
      <c r="B55" s="117" t="s">
        <v>72</v>
      </c>
      <c r="C55" s="86">
        <v>0</v>
      </c>
      <c r="D55" s="97"/>
      <c r="E55" s="9"/>
      <c r="F55" s="9"/>
      <c r="G55" s="9"/>
      <c r="H55" s="9"/>
      <c r="I55" s="34"/>
    </row>
  </sheetData>
  <mergeCells count="9">
    <mergeCell ref="A36:H36"/>
    <mergeCell ref="A42:H42"/>
    <mergeCell ref="A47:H47"/>
    <mergeCell ref="A7:H7"/>
    <mergeCell ref="A11:H11"/>
    <mergeCell ref="A21:H21"/>
    <mergeCell ref="A15:H15"/>
    <mergeCell ref="A28:H28"/>
    <mergeCell ref="A32:H32"/>
  </mergeCells>
  <printOptions headings="1"/>
  <pageMargins left="0.21" right="0.2" top="0.23" bottom="0.75" header="0.16" footer="0.3"/>
  <pageSetup paperSize="17" scale="79" fitToWidth="4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showFormulas="1" zoomScale="85" zoomScaleNormal="85" zoomScaleSheetLayoutView="100" workbookViewId="0">
      <pane ySplit="1" topLeftCell="A2" activePane="bottomLeft" state="frozen"/>
      <selection pane="bottomLeft" activeCell="C4" sqref="C2:C4"/>
    </sheetView>
  </sheetViews>
  <sheetFormatPr defaultRowHeight="15" x14ac:dyDescent="0.25"/>
  <cols>
    <col min="1" max="1" width="12.140625" customWidth="1"/>
    <col min="2" max="2" width="9.85546875" customWidth="1"/>
    <col min="3" max="3" width="69.7109375" customWidth="1"/>
    <col min="4" max="4" width="58.7109375" customWidth="1"/>
    <col min="5" max="5" width="57.7109375" customWidth="1"/>
    <col min="6" max="6" width="29.42578125" customWidth="1"/>
    <col min="7" max="7" width="30.5703125" customWidth="1"/>
    <col min="8" max="8" width="58.28515625" customWidth="1"/>
    <col min="9" max="9" width="57.28515625" customWidth="1"/>
    <col min="10" max="10" width="55.7109375" customWidth="1"/>
    <col min="11" max="11" width="58.42578125" customWidth="1"/>
    <col min="12" max="12" width="57.85546875" customWidth="1"/>
  </cols>
  <sheetData>
    <row r="1" spans="1:12" ht="15.75" thickBot="1" x14ac:dyDescent="0.3">
      <c r="A1" s="157"/>
      <c r="B1" s="157"/>
      <c r="C1" s="24" t="s">
        <v>92</v>
      </c>
      <c r="D1" s="24" t="s">
        <v>78</v>
      </c>
      <c r="E1" s="24" t="s">
        <v>23</v>
      </c>
      <c r="F1" s="24" t="s">
        <v>65</v>
      </c>
      <c r="G1" s="24" t="s">
        <v>10</v>
      </c>
      <c r="H1" s="24" t="s">
        <v>50</v>
      </c>
      <c r="I1" s="24" t="s">
        <v>96</v>
      </c>
      <c r="J1" s="24" t="s">
        <v>112</v>
      </c>
      <c r="K1" s="24" t="s">
        <v>127</v>
      </c>
      <c r="L1" s="24" t="s">
        <v>12</v>
      </c>
    </row>
    <row r="2" spans="1:12" s="142" customFormat="1" x14ac:dyDescent="0.25">
      <c r="A2" s="181" t="s">
        <v>104</v>
      </c>
      <c r="B2" s="166" t="s">
        <v>31</v>
      </c>
      <c r="C2" s="100" t="s">
        <v>114</v>
      </c>
      <c r="D2" s="8"/>
      <c r="E2" s="65"/>
      <c r="F2" s="65"/>
      <c r="G2" s="65"/>
      <c r="H2" s="65"/>
      <c r="I2" s="65"/>
      <c r="J2" s="65"/>
      <c r="K2" s="174"/>
      <c r="L2" s="169"/>
    </row>
    <row r="3" spans="1:12" s="142" customFormat="1" x14ac:dyDescent="0.25">
      <c r="A3" s="182"/>
      <c r="B3" s="49" t="s">
        <v>107</v>
      </c>
      <c r="C3" s="62" t="s">
        <v>116</v>
      </c>
      <c r="D3" s="110"/>
      <c r="E3" s="3"/>
      <c r="F3" s="3"/>
      <c r="G3" s="3"/>
      <c r="H3" s="3"/>
      <c r="I3" s="3"/>
      <c r="J3" s="3"/>
      <c r="K3" s="103"/>
      <c r="L3" s="96"/>
    </row>
    <row r="4" spans="1:12" s="142" customFormat="1" ht="15.75" thickBot="1" x14ac:dyDescent="0.3">
      <c r="A4" s="183"/>
      <c r="B4" s="130" t="s">
        <v>69</v>
      </c>
      <c r="C4" s="151" t="s">
        <v>35</v>
      </c>
      <c r="D4" s="167"/>
      <c r="E4" s="152"/>
      <c r="F4" s="152"/>
      <c r="G4" s="152"/>
      <c r="H4" s="152"/>
      <c r="I4" s="152"/>
      <c r="J4" s="152"/>
      <c r="K4" s="82"/>
      <c r="L4" s="75"/>
    </row>
    <row r="5" spans="1:12" s="142" customFormat="1" ht="15.75" thickBot="1" x14ac:dyDescent="0.3">
      <c r="A5" s="143" t="s">
        <v>138</v>
      </c>
      <c r="B5" s="127" t="s">
        <v>31</v>
      </c>
      <c r="C5" s="33" t="str">
        <f>IF($C$12&lt;&gt;"", IF(AND($C$2 - $C$12 &gt; 0), CONCATENATE($C$12, "-", RIGHT($C$2,2)), $C$2), "")</f>
        <v>2010-16</v>
      </c>
      <c r="D5" s="50"/>
      <c r="E5" s="50"/>
      <c r="F5" s="50"/>
      <c r="G5" s="50"/>
      <c r="H5" s="50"/>
      <c r="I5" s="50"/>
      <c r="J5" s="50"/>
      <c r="K5" s="144"/>
      <c r="L5" s="136"/>
    </row>
    <row r="6" spans="1:12" x14ac:dyDescent="0.25">
      <c r="A6" s="189" t="s">
        <v>4</v>
      </c>
      <c r="B6" s="111" t="s">
        <v>31</v>
      </c>
      <c r="C6" s="41" t="s">
        <v>86</v>
      </c>
      <c r="D6" s="47"/>
      <c r="E6" s="56"/>
      <c r="F6" s="56"/>
      <c r="G6" s="56"/>
      <c r="H6" s="93"/>
      <c r="I6" s="56"/>
      <c r="J6" s="93"/>
      <c r="K6" s="123"/>
      <c r="L6" s="118"/>
    </row>
    <row r="7" spans="1:12" x14ac:dyDescent="0.25">
      <c r="A7" s="187"/>
      <c r="B7" s="6" t="s">
        <v>75</v>
      </c>
      <c r="C7" s="48">
        <f>SUM(D7,J7)</f>
        <v>817</v>
      </c>
      <c r="D7" s="27">
        <v>685</v>
      </c>
      <c r="E7" s="27">
        <v>18</v>
      </c>
      <c r="F7" s="27">
        <v>33</v>
      </c>
      <c r="G7" s="27">
        <v>0</v>
      </c>
      <c r="H7" s="38">
        <f>SUM(F7,G7)</f>
        <v>33</v>
      </c>
      <c r="I7" s="27">
        <v>81</v>
      </c>
      <c r="J7" s="17">
        <f>SUM(E7,H7,I7)</f>
        <v>132</v>
      </c>
      <c r="K7" s="37">
        <v>80</v>
      </c>
      <c r="L7" s="121"/>
    </row>
    <row r="8" spans="1:12" x14ac:dyDescent="0.25">
      <c r="A8" s="187"/>
      <c r="B8" s="49" t="s">
        <v>13</v>
      </c>
      <c r="C8" s="104">
        <f>SUM(D8,J8)</f>
        <v>675</v>
      </c>
      <c r="D8" s="88">
        <v>576</v>
      </c>
      <c r="E8" s="88">
        <v>14</v>
      </c>
      <c r="F8" s="88">
        <v>22</v>
      </c>
      <c r="G8" s="88">
        <v>0</v>
      </c>
      <c r="H8" s="92">
        <f>SUM(F8,G8)</f>
        <v>22</v>
      </c>
      <c r="I8" s="88">
        <v>63</v>
      </c>
      <c r="J8" s="78">
        <f>SUM(E8,H8,I8)</f>
        <v>99</v>
      </c>
      <c r="K8" s="37">
        <v>71</v>
      </c>
      <c r="L8" s="121"/>
    </row>
    <row r="9" spans="1:12" x14ac:dyDescent="0.25">
      <c r="A9" s="187"/>
      <c r="B9" s="49" t="s">
        <v>33</v>
      </c>
      <c r="C9" s="104">
        <f>SUM(D9,J9)</f>
        <v>1459</v>
      </c>
      <c r="D9" s="88">
        <v>1300</v>
      </c>
      <c r="E9" s="88">
        <v>27</v>
      </c>
      <c r="F9" s="88">
        <v>32</v>
      </c>
      <c r="G9" s="88">
        <v>0</v>
      </c>
      <c r="H9" s="92">
        <f>SUM(F9,G9)</f>
        <v>32</v>
      </c>
      <c r="I9" s="88">
        <v>100</v>
      </c>
      <c r="J9" s="78">
        <f>SUM(E9,H9,I9)</f>
        <v>159</v>
      </c>
      <c r="K9" s="37">
        <v>148</v>
      </c>
      <c r="L9" s="121"/>
    </row>
    <row r="10" spans="1:12" x14ac:dyDescent="0.25">
      <c r="A10" s="187"/>
      <c r="B10" s="49" t="s">
        <v>98</v>
      </c>
      <c r="C10" s="35">
        <f>ROUND(IF(C7 &lt;&gt; 0, C8/C7, 0), 6)</f>
        <v>0.82619299999999996</v>
      </c>
      <c r="D10" s="35">
        <f>ROUND(IF(D7 &lt;&gt; 0, D8/D7, 0), 6)</f>
        <v>0.84087599999999996</v>
      </c>
      <c r="E10" s="35">
        <f t="shared" ref="E10:K10" si="0">ROUND(IF(E7 &lt;&gt; 0, E8/E7, 0), 6)</f>
        <v>0.77777799999999997</v>
      </c>
      <c r="F10" s="35">
        <f t="shared" si="0"/>
        <v>0.66666700000000001</v>
      </c>
      <c r="G10" s="35">
        <f t="shared" si="0"/>
        <v>0</v>
      </c>
      <c r="H10" s="35">
        <f t="shared" si="0"/>
        <v>0.66666700000000001</v>
      </c>
      <c r="I10" s="35">
        <f t="shared" si="0"/>
        <v>0.77777799999999997</v>
      </c>
      <c r="J10" s="35">
        <f t="shared" si="0"/>
        <v>0.75</v>
      </c>
      <c r="K10" s="35">
        <f t="shared" si="0"/>
        <v>0.88749999999999996</v>
      </c>
      <c r="L10" s="121"/>
    </row>
    <row r="11" spans="1:12" ht="15.75" thickBot="1" x14ac:dyDescent="0.3">
      <c r="A11" s="188"/>
      <c r="B11" s="130" t="s">
        <v>146</v>
      </c>
      <c r="C11" s="7">
        <f>ROUND(IF(C8 &lt;&gt; 0, C9/C8, 0), 6)</f>
        <v>2.1614810000000002</v>
      </c>
      <c r="D11" s="7">
        <f>ROUND(IF(D8 &lt;&gt; 0, D9/D8, 0), 6)</f>
        <v>2.2569439999999998</v>
      </c>
      <c r="E11" s="7">
        <f t="shared" ref="E11:K11" si="1">ROUND(IF(E8 &lt;&gt; 0, E9/E8, 0), 6)</f>
        <v>1.928571</v>
      </c>
      <c r="F11" s="7">
        <f t="shared" si="1"/>
        <v>1.454545</v>
      </c>
      <c r="G11" s="7">
        <f t="shared" si="1"/>
        <v>0</v>
      </c>
      <c r="H11" s="7">
        <f t="shared" si="1"/>
        <v>1.454545</v>
      </c>
      <c r="I11" s="7">
        <f t="shared" si="1"/>
        <v>1.587302</v>
      </c>
      <c r="J11" s="7">
        <f t="shared" si="1"/>
        <v>1.606061</v>
      </c>
      <c r="K11" s="7">
        <f t="shared" si="1"/>
        <v>2.0845069999999999</v>
      </c>
      <c r="L11" s="175"/>
    </row>
    <row r="12" spans="1:12" x14ac:dyDescent="0.25">
      <c r="A12" s="189" t="s">
        <v>142</v>
      </c>
      <c r="B12" s="111" t="s">
        <v>31</v>
      </c>
      <c r="C12" s="41" t="s">
        <v>86</v>
      </c>
      <c r="D12" s="47"/>
      <c r="E12" s="56"/>
      <c r="F12" s="56"/>
      <c r="G12" s="56"/>
      <c r="H12" s="93"/>
      <c r="I12" s="56"/>
      <c r="J12" s="93"/>
      <c r="K12" s="23"/>
      <c r="L12" s="118"/>
    </row>
    <row r="13" spans="1:12" x14ac:dyDescent="0.25">
      <c r="A13" s="187"/>
      <c r="B13" s="6" t="s">
        <v>75</v>
      </c>
      <c r="C13" s="48">
        <f>SUM(D13,J13)</f>
        <v>817</v>
      </c>
      <c r="D13" s="27">
        <v>685</v>
      </c>
      <c r="E13" s="27">
        <v>18</v>
      </c>
      <c r="F13" s="27">
        <v>33</v>
      </c>
      <c r="G13" s="27">
        <v>0</v>
      </c>
      <c r="H13" s="38">
        <f>SUM(F13,G13)</f>
        <v>33</v>
      </c>
      <c r="I13" s="27">
        <v>81</v>
      </c>
      <c r="J13" s="17">
        <f>SUM(E13,H13,I13)</f>
        <v>132</v>
      </c>
      <c r="K13" s="37">
        <v>80</v>
      </c>
      <c r="L13" s="121"/>
    </row>
    <row r="14" spans="1:12" x14ac:dyDescent="0.25">
      <c r="A14" s="187"/>
      <c r="B14" s="49" t="s">
        <v>13</v>
      </c>
      <c r="C14" s="104">
        <f>SUM(D14,J14)</f>
        <v>675</v>
      </c>
      <c r="D14" s="88">
        <v>576</v>
      </c>
      <c r="E14" s="88">
        <v>14</v>
      </c>
      <c r="F14" s="88">
        <v>22</v>
      </c>
      <c r="G14" s="88">
        <v>0</v>
      </c>
      <c r="H14" s="92">
        <f>SUM(F14,G14)</f>
        <v>22</v>
      </c>
      <c r="I14" s="88">
        <v>63</v>
      </c>
      <c r="J14" s="78">
        <f>SUM(E14,H14,I14)</f>
        <v>99</v>
      </c>
      <c r="K14" s="37">
        <v>71</v>
      </c>
      <c r="L14" s="121"/>
    </row>
    <row r="15" spans="1:12" x14ac:dyDescent="0.25">
      <c r="A15" s="187"/>
      <c r="B15" s="49" t="s">
        <v>33</v>
      </c>
      <c r="C15" s="104">
        <f>SUM(D15,J15)</f>
        <v>1459</v>
      </c>
      <c r="D15" s="88">
        <v>1300</v>
      </c>
      <c r="E15" s="88">
        <v>27</v>
      </c>
      <c r="F15" s="88">
        <v>32</v>
      </c>
      <c r="G15" s="88">
        <v>0</v>
      </c>
      <c r="H15" s="92">
        <f>SUM(F15,G15)</f>
        <v>32</v>
      </c>
      <c r="I15" s="88">
        <v>100</v>
      </c>
      <c r="J15" s="78">
        <f>SUM(E15,H15,I15)</f>
        <v>159</v>
      </c>
      <c r="K15" s="37">
        <v>148</v>
      </c>
      <c r="L15" s="121"/>
    </row>
    <row r="16" spans="1:12" ht="15.75" thickBot="1" x14ac:dyDescent="0.3">
      <c r="A16" s="187"/>
      <c r="B16" s="49" t="s">
        <v>98</v>
      </c>
      <c r="C16" s="7">
        <f>ROUND(IF(C13 &lt;&gt; 0, C14/C13, 0), 6)</f>
        <v>0.82619299999999996</v>
      </c>
      <c r="D16" s="7">
        <f t="shared" ref="D16:K16" si="2">ROUND(IF(D13 &lt;&gt; 0, D14/D13, 0), 6)</f>
        <v>0.84087599999999996</v>
      </c>
      <c r="E16" s="7">
        <f t="shared" si="2"/>
        <v>0.77777799999999997</v>
      </c>
      <c r="F16" s="7">
        <f t="shared" si="2"/>
        <v>0.66666700000000001</v>
      </c>
      <c r="G16" s="7">
        <f t="shared" si="2"/>
        <v>0</v>
      </c>
      <c r="H16" s="7">
        <f t="shared" si="2"/>
        <v>0.66666700000000001</v>
      </c>
      <c r="I16" s="7">
        <f t="shared" si="2"/>
        <v>0.77777799999999997</v>
      </c>
      <c r="J16" s="7">
        <f t="shared" si="2"/>
        <v>0.75</v>
      </c>
      <c r="K16" s="7">
        <f t="shared" si="2"/>
        <v>0.88749999999999996</v>
      </c>
      <c r="L16" s="121"/>
    </row>
    <row r="17" spans="1:12" ht="15.75" thickBot="1" x14ac:dyDescent="0.3">
      <c r="A17" s="188"/>
      <c r="B17" s="130" t="s">
        <v>146</v>
      </c>
      <c r="C17" s="7">
        <f>ROUND(IF(C14 &lt;&gt; 0, C15/C14, 0), 6)</f>
        <v>2.1614810000000002</v>
      </c>
      <c r="D17" s="7">
        <f t="shared" ref="D17:K17" si="3">ROUND(IF(D14 &lt;&gt; 0, D15/D14, 0), 6)</f>
        <v>2.2569439999999998</v>
      </c>
      <c r="E17" s="7">
        <f t="shared" si="3"/>
        <v>1.928571</v>
      </c>
      <c r="F17" s="7">
        <f t="shared" si="3"/>
        <v>1.454545</v>
      </c>
      <c r="G17" s="7">
        <f t="shared" si="3"/>
        <v>0</v>
      </c>
      <c r="H17" s="7">
        <f t="shared" si="3"/>
        <v>1.454545</v>
      </c>
      <c r="I17" s="7">
        <f t="shared" si="3"/>
        <v>1.587302</v>
      </c>
      <c r="J17" s="7">
        <f t="shared" si="3"/>
        <v>1.606061</v>
      </c>
      <c r="K17" s="7">
        <f t="shared" si="3"/>
        <v>2.0845069999999999</v>
      </c>
      <c r="L17" s="175"/>
    </row>
    <row r="18" spans="1:12" x14ac:dyDescent="0.25">
      <c r="A18" s="189" t="s">
        <v>21</v>
      </c>
      <c r="B18" s="111" t="s">
        <v>31</v>
      </c>
      <c r="C18" s="33" t="str">
        <f>IF(C12&lt;&gt;"", C12, "")</f>
        <v>2010</v>
      </c>
      <c r="D18" s="47"/>
      <c r="E18" s="56"/>
      <c r="F18" s="56"/>
      <c r="G18" s="56"/>
      <c r="H18" s="93"/>
      <c r="I18" s="56"/>
      <c r="J18" s="93"/>
      <c r="K18" s="23"/>
      <c r="L18" s="118"/>
    </row>
    <row r="19" spans="1:12" x14ac:dyDescent="0.25">
      <c r="A19" s="187"/>
      <c r="B19" s="6" t="s">
        <v>75</v>
      </c>
      <c r="C19" s="48">
        <f>SUM(D19,J19)</f>
        <v>0</v>
      </c>
      <c r="D19" s="27">
        <v>0</v>
      </c>
      <c r="E19" s="27">
        <v>0</v>
      </c>
      <c r="F19" s="27">
        <v>0</v>
      </c>
      <c r="G19" s="27">
        <v>0</v>
      </c>
      <c r="H19" s="38">
        <f>SUM(F19,G19)</f>
        <v>0</v>
      </c>
      <c r="I19" s="27">
        <v>0</v>
      </c>
      <c r="J19" s="17">
        <f>SUM(E19,H19,I19)</f>
        <v>0</v>
      </c>
      <c r="K19" s="37">
        <v>80</v>
      </c>
      <c r="L19" s="121"/>
    </row>
    <row r="20" spans="1:12" x14ac:dyDescent="0.25">
      <c r="A20" s="187"/>
      <c r="B20" s="49" t="s">
        <v>13</v>
      </c>
      <c r="C20" s="104">
        <f>SUM(D20,J20)</f>
        <v>0</v>
      </c>
      <c r="D20" s="88">
        <v>0</v>
      </c>
      <c r="E20" s="88">
        <v>0</v>
      </c>
      <c r="F20" s="88">
        <v>0</v>
      </c>
      <c r="G20" s="88">
        <v>0</v>
      </c>
      <c r="H20" s="92">
        <f>SUM(F20,G20)</f>
        <v>0</v>
      </c>
      <c r="I20" s="88">
        <v>0</v>
      </c>
      <c r="J20" s="78">
        <f>SUM(E20,H20,I20)</f>
        <v>0</v>
      </c>
      <c r="K20" s="37">
        <v>0</v>
      </c>
      <c r="L20" s="121"/>
    </row>
    <row r="21" spans="1:12" x14ac:dyDescent="0.25">
      <c r="A21" s="187"/>
      <c r="B21" s="49" t="s">
        <v>33</v>
      </c>
      <c r="C21" s="104">
        <f>SUM(D21,J21)</f>
        <v>0</v>
      </c>
      <c r="D21" s="88">
        <v>0</v>
      </c>
      <c r="E21" s="88">
        <v>0</v>
      </c>
      <c r="F21" s="88">
        <v>0</v>
      </c>
      <c r="G21" s="88">
        <v>0</v>
      </c>
      <c r="H21" s="92">
        <f>SUM(F21,G21)</f>
        <v>0</v>
      </c>
      <c r="I21" s="88">
        <v>0</v>
      </c>
      <c r="J21" s="78">
        <f>SUM(E21,H21,I21)</f>
        <v>0</v>
      </c>
      <c r="K21" s="37">
        <v>0</v>
      </c>
      <c r="L21" s="121"/>
    </row>
    <row r="22" spans="1:12" ht="15.75" thickBot="1" x14ac:dyDescent="0.3">
      <c r="A22" s="187"/>
      <c r="B22" s="49" t="s">
        <v>98</v>
      </c>
      <c r="C22" s="7">
        <f t="shared" ref="C22:K22" si="4">ROUND(IF(C19 &lt;&gt; 0, C20/C19, 0), 6)</f>
        <v>0</v>
      </c>
      <c r="D22" s="7">
        <f t="shared" si="4"/>
        <v>0</v>
      </c>
      <c r="E22" s="7">
        <f t="shared" si="4"/>
        <v>0</v>
      </c>
      <c r="F22" s="7">
        <f t="shared" si="4"/>
        <v>0</v>
      </c>
      <c r="G22" s="7">
        <f t="shared" si="4"/>
        <v>0</v>
      </c>
      <c r="H22" s="7">
        <f t="shared" si="4"/>
        <v>0</v>
      </c>
      <c r="I22" s="7">
        <f t="shared" si="4"/>
        <v>0</v>
      </c>
      <c r="J22" s="7">
        <f t="shared" si="4"/>
        <v>0</v>
      </c>
      <c r="K22" s="7">
        <f t="shared" si="4"/>
        <v>0</v>
      </c>
      <c r="L22" s="121"/>
    </row>
    <row r="23" spans="1:12" ht="15.75" thickBot="1" x14ac:dyDescent="0.3">
      <c r="A23" s="188"/>
      <c r="B23" s="130" t="s">
        <v>146</v>
      </c>
      <c r="C23" s="7">
        <f t="shared" ref="C23:K23" si="5">ROUND(IF(C20 &lt;&gt; 0, C21/C20, 0), 6)</f>
        <v>0</v>
      </c>
      <c r="D23" s="7">
        <f t="shared" si="5"/>
        <v>0</v>
      </c>
      <c r="E23" s="7">
        <f t="shared" si="5"/>
        <v>0</v>
      </c>
      <c r="F23" s="7">
        <f t="shared" si="5"/>
        <v>0</v>
      </c>
      <c r="G23" s="7">
        <f t="shared" si="5"/>
        <v>0</v>
      </c>
      <c r="H23" s="7">
        <f t="shared" si="5"/>
        <v>0</v>
      </c>
      <c r="I23" s="7">
        <f t="shared" si="5"/>
        <v>0</v>
      </c>
      <c r="J23" s="7">
        <f t="shared" si="5"/>
        <v>0</v>
      </c>
      <c r="K23" s="7">
        <f t="shared" si="5"/>
        <v>0</v>
      </c>
      <c r="L23" s="175"/>
    </row>
    <row r="24" spans="1:12" x14ac:dyDescent="0.25">
      <c r="A24" s="189" t="s">
        <v>45</v>
      </c>
      <c r="B24" s="111" t="s">
        <v>31</v>
      </c>
      <c r="C24" s="33" t="str">
        <f>IF(C2&lt;&gt;"", C2, "")</f>
        <v>2016</v>
      </c>
      <c r="D24" s="47"/>
      <c r="E24" s="56"/>
      <c r="F24" s="56"/>
      <c r="G24" s="56"/>
      <c r="H24" s="93"/>
      <c r="I24" s="56"/>
      <c r="J24" s="93"/>
      <c r="K24" s="23"/>
      <c r="L24" s="118"/>
    </row>
    <row r="25" spans="1:12" x14ac:dyDescent="0.25">
      <c r="A25" s="187"/>
      <c r="B25" s="6" t="s">
        <v>75</v>
      </c>
      <c r="C25" s="48">
        <f>SUM(D25,J25)</f>
        <v>0</v>
      </c>
      <c r="D25" s="27">
        <v>0</v>
      </c>
      <c r="E25" s="27">
        <v>0</v>
      </c>
      <c r="F25" s="27">
        <v>0</v>
      </c>
      <c r="G25" s="27">
        <v>0</v>
      </c>
      <c r="H25" s="38">
        <f>SUM(F25,G25)</f>
        <v>0</v>
      </c>
      <c r="I25" s="27">
        <v>0</v>
      </c>
      <c r="J25" s="17">
        <f>SUM(E25,H25,I25)</f>
        <v>0</v>
      </c>
      <c r="K25" s="37">
        <v>77</v>
      </c>
      <c r="L25" s="121"/>
    </row>
    <row r="26" spans="1:12" x14ac:dyDescent="0.25">
      <c r="A26" s="187"/>
      <c r="B26" s="49" t="s">
        <v>13</v>
      </c>
      <c r="C26" s="104">
        <f>SUM(D26,J26)</f>
        <v>0</v>
      </c>
      <c r="D26" s="88">
        <v>0</v>
      </c>
      <c r="E26" s="88">
        <v>0</v>
      </c>
      <c r="F26" s="88">
        <v>0</v>
      </c>
      <c r="G26" s="88">
        <v>0</v>
      </c>
      <c r="H26" s="92">
        <f>SUM(F26,G26)</f>
        <v>0</v>
      </c>
      <c r="I26" s="88">
        <v>0</v>
      </c>
      <c r="J26" s="78">
        <f>SUM(E26,H26,I26)</f>
        <v>0</v>
      </c>
      <c r="K26" s="37">
        <v>0</v>
      </c>
      <c r="L26" s="121"/>
    </row>
    <row r="27" spans="1:12" x14ac:dyDescent="0.25">
      <c r="A27" s="187"/>
      <c r="B27" s="49" t="s">
        <v>33</v>
      </c>
      <c r="C27" s="104">
        <f>SUM(D27,J27)</f>
        <v>0</v>
      </c>
      <c r="D27" s="88">
        <v>0</v>
      </c>
      <c r="E27" s="88">
        <v>0</v>
      </c>
      <c r="F27" s="88">
        <v>0</v>
      </c>
      <c r="G27" s="88">
        <v>0</v>
      </c>
      <c r="H27" s="92">
        <f>SUM(F27,G27)</f>
        <v>0</v>
      </c>
      <c r="I27" s="88">
        <v>0</v>
      </c>
      <c r="J27" s="78">
        <f>SUM(E27,H27,I27)</f>
        <v>0</v>
      </c>
      <c r="K27" s="37">
        <v>0</v>
      </c>
      <c r="L27" s="121"/>
    </row>
    <row r="28" spans="1:12" ht="15.75" thickBot="1" x14ac:dyDescent="0.3">
      <c r="A28" s="187"/>
      <c r="B28" s="49" t="s">
        <v>98</v>
      </c>
      <c r="C28" s="7">
        <f t="shared" ref="C28:K28" si="6">ROUND(IF(C25 &lt;&gt; 0, C26/C25, 0), 6)</f>
        <v>0</v>
      </c>
      <c r="D28" s="7">
        <f t="shared" si="6"/>
        <v>0</v>
      </c>
      <c r="E28" s="7">
        <f t="shared" si="6"/>
        <v>0</v>
      </c>
      <c r="F28" s="7">
        <f t="shared" si="6"/>
        <v>0</v>
      </c>
      <c r="G28" s="7">
        <f t="shared" si="6"/>
        <v>0</v>
      </c>
      <c r="H28" s="7">
        <f t="shared" si="6"/>
        <v>0</v>
      </c>
      <c r="I28" s="7">
        <f t="shared" si="6"/>
        <v>0</v>
      </c>
      <c r="J28" s="7">
        <f t="shared" si="6"/>
        <v>0</v>
      </c>
      <c r="K28" s="7">
        <f t="shared" si="6"/>
        <v>0</v>
      </c>
      <c r="L28" s="121"/>
    </row>
    <row r="29" spans="1:12" ht="15.75" thickBot="1" x14ac:dyDescent="0.3">
      <c r="A29" s="188"/>
      <c r="B29" s="130" t="s">
        <v>146</v>
      </c>
      <c r="C29" s="7">
        <f t="shared" ref="C29:K29" si="7">ROUND(IF(C26 &lt;&gt; 0, C27/C26, 0), 6)</f>
        <v>0</v>
      </c>
      <c r="D29" s="7">
        <f t="shared" si="7"/>
        <v>0</v>
      </c>
      <c r="E29" s="7">
        <f t="shared" si="7"/>
        <v>0</v>
      </c>
      <c r="F29" s="7">
        <f t="shared" si="7"/>
        <v>0</v>
      </c>
      <c r="G29" s="7">
        <f t="shared" si="7"/>
        <v>0</v>
      </c>
      <c r="H29" s="7">
        <f t="shared" si="7"/>
        <v>0</v>
      </c>
      <c r="I29" s="7">
        <f t="shared" si="7"/>
        <v>0</v>
      </c>
      <c r="J29" s="7">
        <f t="shared" si="7"/>
        <v>0</v>
      </c>
      <c r="K29" s="7">
        <f t="shared" si="7"/>
        <v>0</v>
      </c>
      <c r="L29" s="175"/>
    </row>
    <row r="30" spans="1:12" x14ac:dyDescent="0.25">
      <c r="A30" s="187" t="s">
        <v>53</v>
      </c>
      <c r="B30" s="18" t="s">
        <v>31</v>
      </c>
      <c r="C30" s="99" t="s">
        <v>61</v>
      </c>
      <c r="D30" s="101"/>
      <c r="E30" s="107"/>
      <c r="F30" s="107"/>
      <c r="G30" s="107"/>
      <c r="H30" s="165"/>
      <c r="I30" s="107"/>
      <c r="J30" s="165"/>
      <c r="K30" s="23"/>
      <c r="L30" s="118"/>
    </row>
    <row r="31" spans="1:12" x14ac:dyDescent="0.25">
      <c r="A31" s="187"/>
      <c r="B31" s="18" t="s">
        <v>75</v>
      </c>
      <c r="C31" s="48">
        <f>SUM(D31,J31)</f>
        <v>798</v>
      </c>
      <c r="D31" s="27">
        <v>668</v>
      </c>
      <c r="E31" s="27">
        <v>16</v>
      </c>
      <c r="F31" s="27">
        <v>35</v>
      </c>
      <c r="G31" s="27">
        <v>0</v>
      </c>
      <c r="H31" s="38">
        <f>SUM(F31,G31)</f>
        <v>35</v>
      </c>
      <c r="I31" s="27">
        <v>79</v>
      </c>
      <c r="J31" s="17">
        <f>SUM(E31,H31,I31)</f>
        <v>130</v>
      </c>
      <c r="K31" s="37">
        <v>70</v>
      </c>
      <c r="L31" s="121"/>
    </row>
    <row r="32" spans="1:12" x14ac:dyDescent="0.25">
      <c r="A32" s="187"/>
      <c r="B32" s="60" t="s">
        <v>13</v>
      </c>
      <c r="C32" s="104">
        <f>SUM(D32,J32)</f>
        <v>711</v>
      </c>
      <c r="D32" s="88">
        <v>612</v>
      </c>
      <c r="E32" s="88">
        <v>14</v>
      </c>
      <c r="F32" s="88">
        <v>19</v>
      </c>
      <c r="G32" s="88">
        <v>0</v>
      </c>
      <c r="H32" s="92">
        <f>SUM(F32,G32)</f>
        <v>19</v>
      </c>
      <c r="I32" s="88">
        <v>66</v>
      </c>
      <c r="J32" s="78">
        <f>SUM(E32,H32,I32)</f>
        <v>99</v>
      </c>
      <c r="K32" s="37">
        <v>64</v>
      </c>
      <c r="L32" s="121"/>
    </row>
    <row r="33" spans="1:12" x14ac:dyDescent="0.25">
      <c r="A33" s="187"/>
      <c r="B33" s="60" t="s">
        <v>33</v>
      </c>
      <c r="C33" s="104">
        <f>SUM(D33,J33)</f>
        <v>1537</v>
      </c>
      <c r="D33" s="88">
        <v>1379</v>
      </c>
      <c r="E33" s="88">
        <v>26</v>
      </c>
      <c r="F33" s="88">
        <v>28</v>
      </c>
      <c r="G33" s="88">
        <v>0</v>
      </c>
      <c r="H33" s="92">
        <f>SUM(F33,G33)</f>
        <v>28</v>
      </c>
      <c r="I33" s="88">
        <v>104</v>
      </c>
      <c r="J33" s="78">
        <f>SUM(E33,H33,I33)</f>
        <v>158</v>
      </c>
      <c r="K33" s="37">
        <v>130</v>
      </c>
      <c r="L33" s="121"/>
    </row>
    <row r="34" spans="1:12" ht="15.75" thickBot="1" x14ac:dyDescent="0.3">
      <c r="A34" s="187"/>
      <c r="B34" s="60" t="s">
        <v>98</v>
      </c>
      <c r="C34" s="7">
        <f t="shared" ref="C34:K34" si="8">ROUND(IF(C31 &lt;&gt; 0, C32/C31, 0), 6)</f>
        <v>0.89097700000000002</v>
      </c>
      <c r="D34" s="7">
        <f t="shared" si="8"/>
        <v>0.91616799999999998</v>
      </c>
      <c r="E34" s="7">
        <f t="shared" si="8"/>
        <v>0.875</v>
      </c>
      <c r="F34" s="7">
        <f t="shared" si="8"/>
        <v>0.54285700000000003</v>
      </c>
      <c r="G34" s="7">
        <f t="shared" si="8"/>
        <v>0</v>
      </c>
      <c r="H34" s="7">
        <f t="shared" si="8"/>
        <v>0.54285700000000003</v>
      </c>
      <c r="I34" s="7">
        <f t="shared" si="8"/>
        <v>0.83544300000000005</v>
      </c>
      <c r="J34" s="7">
        <f t="shared" si="8"/>
        <v>0.76153800000000005</v>
      </c>
      <c r="K34" s="7">
        <f t="shared" si="8"/>
        <v>0.91428600000000004</v>
      </c>
      <c r="L34" s="121"/>
    </row>
    <row r="35" spans="1:12" ht="15.75" thickBot="1" x14ac:dyDescent="0.3">
      <c r="A35" s="188"/>
      <c r="B35" s="130" t="s">
        <v>146</v>
      </c>
      <c r="C35" s="7">
        <f t="shared" ref="C35:K35" si="9">ROUND(IF(C32 &lt;&gt; 0, C33/C32, 0), 6)</f>
        <v>2.1617440000000001</v>
      </c>
      <c r="D35" s="7">
        <f t="shared" si="9"/>
        <v>2.2532679999999998</v>
      </c>
      <c r="E35" s="7">
        <f t="shared" si="9"/>
        <v>1.857143</v>
      </c>
      <c r="F35" s="7">
        <f t="shared" si="9"/>
        <v>1.473684</v>
      </c>
      <c r="G35" s="7">
        <f t="shared" si="9"/>
        <v>0</v>
      </c>
      <c r="H35" s="7">
        <f t="shared" si="9"/>
        <v>1.473684</v>
      </c>
      <c r="I35" s="7">
        <f t="shared" si="9"/>
        <v>1.575758</v>
      </c>
      <c r="J35" s="7">
        <f t="shared" si="9"/>
        <v>1.59596</v>
      </c>
      <c r="K35" s="7">
        <f t="shared" si="9"/>
        <v>2.03125</v>
      </c>
      <c r="L35" s="175"/>
    </row>
    <row r="36" spans="1:12" x14ac:dyDescent="0.25">
      <c r="A36" s="189" t="s">
        <v>14</v>
      </c>
      <c r="B36" s="18" t="s">
        <v>31</v>
      </c>
      <c r="C36" s="99" t="s">
        <v>61</v>
      </c>
      <c r="D36" s="101"/>
      <c r="E36" s="107"/>
      <c r="F36" s="107"/>
      <c r="G36" s="107"/>
      <c r="H36" s="165"/>
      <c r="I36" s="107"/>
      <c r="J36" s="165"/>
      <c r="K36" s="23"/>
      <c r="L36" s="118"/>
    </row>
    <row r="37" spans="1:12" x14ac:dyDescent="0.25">
      <c r="A37" s="187"/>
      <c r="B37" s="18" t="s">
        <v>75</v>
      </c>
      <c r="C37" s="48">
        <f>SUM(D37,J37)</f>
        <v>798</v>
      </c>
      <c r="D37" s="27">
        <v>668</v>
      </c>
      <c r="E37" s="27">
        <v>16</v>
      </c>
      <c r="F37" s="27">
        <v>35</v>
      </c>
      <c r="G37" s="27">
        <v>0</v>
      </c>
      <c r="H37" s="38">
        <f>SUM(F37,G37)</f>
        <v>35</v>
      </c>
      <c r="I37" s="27">
        <v>79</v>
      </c>
      <c r="J37" s="17">
        <f>SUM(E37,H37,I37)</f>
        <v>130</v>
      </c>
      <c r="K37" s="37">
        <v>70</v>
      </c>
      <c r="L37" s="121"/>
    </row>
    <row r="38" spans="1:12" x14ac:dyDescent="0.25">
      <c r="A38" s="187"/>
      <c r="B38" s="60" t="s">
        <v>13</v>
      </c>
      <c r="C38" s="104">
        <f>SUM(D38,J38)</f>
        <v>711</v>
      </c>
      <c r="D38" s="88">
        <v>612</v>
      </c>
      <c r="E38" s="88">
        <v>14</v>
      </c>
      <c r="F38" s="88">
        <v>19</v>
      </c>
      <c r="G38" s="88">
        <v>0</v>
      </c>
      <c r="H38" s="92">
        <f>SUM(F38,G38)</f>
        <v>19</v>
      </c>
      <c r="I38" s="88">
        <v>66</v>
      </c>
      <c r="J38" s="78">
        <f>SUM(E38,H38,I38)</f>
        <v>99</v>
      </c>
      <c r="K38" s="37">
        <v>64</v>
      </c>
      <c r="L38" s="121"/>
    </row>
    <row r="39" spans="1:12" x14ac:dyDescent="0.25">
      <c r="A39" s="187"/>
      <c r="B39" s="60" t="s">
        <v>33</v>
      </c>
      <c r="C39" s="104">
        <f>SUM(D39,J39)</f>
        <v>1537</v>
      </c>
      <c r="D39" s="88">
        <v>1379</v>
      </c>
      <c r="E39" s="88">
        <v>26</v>
      </c>
      <c r="F39" s="88">
        <v>28</v>
      </c>
      <c r="G39" s="88">
        <v>0</v>
      </c>
      <c r="H39" s="92">
        <f>SUM(F39,G39)</f>
        <v>28</v>
      </c>
      <c r="I39" s="88">
        <v>104</v>
      </c>
      <c r="J39" s="78">
        <f>SUM(E39,H39,I39)</f>
        <v>158</v>
      </c>
      <c r="K39" s="37">
        <v>130</v>
      </c>
      <c r="L39" s="121"/>
    </row>
    <row r="40" spans="1:12" ht="15.75" thickBot="1" x14ac:dyDescent="0.3">
      <c r="A40" s="187"/>
      <c r="B40" s="60" t="s">
        <v>98</v>
      </c>
      <c r="C40" s="7">
        <f t="shared" ref="C40:K40" si="10">ROUND(IF(C37 &lt;&gt; 0, C38/C37, 0), 6)</f>
        <v>0.89097700000000002</v>
      </c>
      <c r="D40" s="7">
        <f t="shared" si="10"/>
        <v>0.91616799999999998</v>
      </c>
      <c r="E40" s="7">
        <f t="shared" si="10"/>
        <v>0.875</v>
      </c>
      <c r="F40" s="7">
        <f t="shared" si="10"/>
        <v>0.54285700000000003</v>
      </c>
      <c r="G40" s="7">
        <f t="shared" si="10"/>
        <v>0</v>
      </c>
      <c r="H40" s="7">
        <f t="shared" si="10"/>
        <v>0.54285700000000003</v>
      </c>
      <c r="I40" s="7">
        <f t="shared" si="10"/>
        <v>0.83544300000000005</v>
      </c>
      <c r="J40" s="7">
        <f t="shared" si="10"/>
        <v>0.76153800000000005</v>
      </c>
      <c r="K40" s="7">
        <f t="shared" si="10"/>
        <v>0.91428600000000004</v>
      </c>
      <c r="L40" s="121"/>
    </row>
    <row r="41" spans="1:12" ht="15.75" thickBot="1" x14ac:dyDescent="0.3">
      <c r="A41" s="188"/>
      <c r="B41" s="130" t="s">
        <v>146</v>
      </c>
      <c r="C41" s="7">
        <f t="shared" ref="C41:K41" si="11">ROUND(IF(C38 &lt;&gt; 0, C39/C38, 0), 6)</f>
        <v>2.1617440000000001</v>
      </c>
      <c r="D41" s="7">
        <f t="shared" si="11"/>
        <v>2.2532679999999998</v>
      </c>
      <c r="E41" s="7">
        <f t="shared" si="11"/>
        <v>1.857143</v>
      </c>
      <c r="F41" s="7">
        <f t="shared" si="11"/>
        <v>1.473684</v>
      </c>
      <c r="G41" s="7">
        <f t="shared" si="11"/>
        <v>0</v>
      </c>
      <c r="H41" s="7">
        <f t="shared" si="11"/>
        <v>1.473684</v>
      </c>
      <c r="I41" s="7">
        <f t="shared" si="11"/>
        <v>1.575758</v>
      </c>
      <c r="J41" s="7">
        <f t="shared" si="11"/>
        <v>1.59596</v>
      </c>
      <c r="K41" s="7">
        <f t="shared" si="11"/>
        <v>2.03125</v>
      </c>
      <c r="L41" s="175"/>
    </row>
    <row r="42" spans="1:12" x14ac:dyDescent="0.25">
      <c r="A42" s="189" t="s">
        <v>24</v>
      </c>
      <c r="B42" s="111" t="s">
        <v>31</v>
      </c>
      <c r="C42" s="33" t="str">
        <f>IF(AND($C$2 &lt;&gt; "", $C$12 &lt;&gt; "", $C$2 - $C$12 &gt; 1), CONCATENATE($C$12, "-", RIGHT(SUM(VALUE($C$2), -1), 2)), "N/A")</f>
        <v>2010-15</v>
      </c>
      <c r="D42" s="47"/>
      <c r="E42" s="56"/>
      <c r="F42" s="56"/>
      <c r="G42" s="56"/>
      <c r="H42" s="93"/>
      <c r="I42" s="56"/>
      <c r="J42" s="93"/>
      <c r="K42" s="23"/>
      <c r="L42" s="118"/>
    </row>
    <row r="43" spans="1:12" x14ac:dyDescent="0.25">
      <c r="A43" s="187"/>
      <c r="B43" s="6" t="s">
        <v>75</v>
      </c>
      <c r="C43" s="48">
        <f>SUM(D43,J43)</f>
        <v>0</v>
      </c>
      <c r="D43" s="27">
        <v>0</v>
      </c>
      <c r="E43" s="27">
        <v>0</v>
      </c>
      <c r="F43" s="27">
        <v>0</v>
      </c>
      <c r="G43" s="27">
        <v>0</v>
      </c>
      <c r="H43" s="38">
        <f>SUM(F43,G43)</f>
        <v>0</v>
      </c>
      <c r="I43" s="27">
        <v>0</v>
      </c>
      <c r="J43" s="17">
        <f>SUM(E43,H43,I43)</f>
        <v>0</v>
      </c>
      <c r="K43" s="37">
        <v>0</v>
      </c>
      <c r="L43" s="121"/>
    </row>
    <row r="44" spans="1:12" x14ac:dyDescent="0.25">
      <c r="A44" s="187"/>
      <c r="B44" s="49" t="s">
        <v>13</v>
      </c>
      <c r="C44" s="104">
        <f>SUM(D44,J44)</f>
        <v>0</v>
      </c>
      <c r="D44" s="88">
        <v>0</v>
      </c>
      <c r="E44" s="88">
        <v>0</v>
      </c>
      <c r="F44" s="88">
        <v>0</v>
      </c>
      <c r="G44" s="88">
        <v>0</v>
      </c>
      <c r="H44" s="92">
        <f>SUM(F44,G44)</f>
        <v>0</v>
      </c>
      <c r="I44" s="88">
        <v>0</v>
      </c>
      <c r="J44" s="78">
        <f>SUM(E44,H44,I44)</f>
        <v>0</v>
      </c>
      <c r="K44" s="37">
        <v>0</v>
      </c>
      <c r="L44" s="121"/>
    </row>
    <row r="45" spans="1:12" x14ac:dyDescent="0.25">
      <c r="A45" s="187"/>
      <c r="B45" s="49" t="s">
        <v>33</v>
      </c>
      <c r="C45" s="104">
        <f>SUM(D45,J45)</f>
        <v>0</v>
      </c>
      <c r="D45" s="88">
        <v>0</v>
      </c>
      <c r="E45" s="88">
        <v>0</v>
      </c>
      <c r="F45" s="88">
        <v>0</v>
      </c>
      <c r="G45" s="88">
        <v>0</v>
      </c>
      <c r="H45" s="92">
        <f>SUM(F45,G45)</f>
        <v>0</v>
      </c>
      <c r="I45" s="88">
        <v>0</v>
      </c>
      <c r="J45" s="78">
        <f>SUM(E45,H45,I45)</f>
        <v>0</v>
      </c>
      <c r="K45" s="37">
        <v>0</v>
      </c>
      <c r="L45" s="121"/>
    </row>
    <row r="46" spans="1:12" ht="15.75" thickBot="1" x14ac:dyDescent="0.3">
      <c r="A46" s="187"/>
      <c r="B46" s="49" t="s">
        <v>98</v>
      </c>
      <c r="C46" s="7">
        <f t="shared" ref="C46:K46" si="12">ROUND(IF(C43 &lt;&gt; 0, C44/C43, 0), 6)</f>
        <v>0</v>
      </c>
      <c r="D46" s="7">
        <f t="shared" si="12"/>
        <v>0</v>
      </c>
      <c r="E46" s="7">
        <f t="shared" si="12"/>
        <v>0</v>
      </c>
      <c r="F46" s="7">
        <f t="shared" si="12"/>
        <v>0</v>
      </c>
      <c r="G46" s="7">
        <f t="shared" si="12"/>
        <v>0</v>
      </c>
      <c r="H46" s="7">
        <f t="shared" si="12"/>
        <v>0</v>
      </c>
      <c r="I46" s="7">
        <f t="shared" si="12"/>
        <v>0</v>
      </c>
      <c r="J46" s="7">
        <f t="shared" si="12"/>
        <v>0</v>
      </c>
      <c r="K46" s="7">
        <f t="shared" si="12"/>
        <v>0</v>
      </c>
      <c r="L46" s="121"/>
    </row>
    <row r="47" spans="1:12" ht="15.75" thickBot="1" x14ac:dyDescent="0.3">
      <c r="A47" s="188"/>
      <c r="B47" s="130" t="s">
        <v>146</v>
      </c>
      <c r="C47" s="7">
        <f t="shared" ref="C47:K47" si="13">ROUND(IF(C44 &lt;&gt; 0, C45/C44, 0), 6)</f>
        <v>0</v>
      </c>
      <c r="D47" s="7">
        <f t="shared" si="13"/>
        <v>0</v>
      </c>
      <c r="E47" s="7">
        <f t="shared" si="13"/>
        <v>0</v>
      </c>
      <c r="F47" s="7">
        <f t="shared" si="13"/>
        <v>0</v>
      </c>
      <c r="G47" s="7">
        <f t="shared" si="13"/>
        <v>0</v>
      </c>
      <c r="H47" s="7">
        <f t="shared" si="13"/>
        <v>0</v>
      </c>
      <c r="I47" s="7">
        <f t="shared" si="13"/>
        <v>0</v>
      </c>
      <c r="J47" s="7">
        <f t="shared" si="13"/>
        <v>0</v>
      </c>
      <c r="K47" s="7">
        <f t="shared" si="13"/>
        <v>0</v>
      </c>
      <c r="L47" s="175"/>
    </row>
    <row r="48" spans="1:12" x14ac:dyDescent="0.25">
      <c r="A48" s="189" t="s">
        <v>43</v>
      </c>
      <c r="B48" s="111" t="s">
        <v>31</v>
      </c>
      <c r="C48" s="33" t="str">
        <f>IF($C$42 &lt;&gt; "N/A", $C$42, $C$12)</f>
        <v>2010-15</v>
      </c>
      <c r="D48" s="47"/>
      <c r="E48" s="56"/>
      <c r="F48" s="56"/>
      <c r="G48" s="56"/>
      <c r="H48" s="93"/>
      <c r="I48" s="56"/>
      <c r="J48" s="93"/>
      <c r="K48" s="23"/>
      <c r="L48" s="118"/>
    </row>
    <row r="49" spans="1:12" x14ac:dyDescent="0.25">
      <c r="A49" s="187"/>
      <c r="B49" s="6" t="s">
        <v>98</v>
      </c>
      <c r="C49" s="94">
        <f>ROUND(IF(SUM(C13,C43)&lt;&gt;0,SUM(C14,C44)/SUM(C13,C43),0), 6)</f>
        <v>0.82619299999999996</v>
      </c>
      <c r="D49" s="94">
        <f t="shared" ref="D49:K49" si="14">ROUND(IF(SUM(D13,D43)&lt;&gt;0,SUM(D14,D44)/SUM(D13,D43),0), 6)</f>
        <v>0.84087599999999996</v>
      </c>
      <c r="E49" s="94">
        <f t="shared" si="14"/>
        <v>0.77777799999999997</v>
      </c>
      <c r="F49" s="94">
        <f t="shared" si="14"/>
        <v>0.66666700000000001</v>
      </c>
      <c r="G49" s="94">
        <f t="shared" si="14"/>
        <v>0</v>
      </c>
      <c r="H49" s="94">
        <f t="shared" si="14"/>
        <v>0.66666700000000001</v>
      </c>
      <c r="I49" s="94">
        <f t="shared" si="14"/>
        <v>0.77777799999999997</v>
      </c>
      <c r="J49" s="94">
        <f t="shared" si="14"/>
        <v>0.75</v>
      </c>
      <c r="K49" s="94">
        <f t="shared" si="14"/>
        <v>0.88749999999999996</v>
      </c>
      <c r="L49" s="121"/>
    </row>
    <row r="50" spans="1:12" ht="15.75" thickBot="1" x14ac:dyDescent="0.3">
      <c r="A50" s="188"/>
      <c r="B50" s="130" t="s">
        <v>146</v>
      </c>
      <c r="C50" s="7">
        <f>ROUND(IF(SUM(C14,C44)&lt;&gt;0,SUM(C15,C45)/SUM(C14,C44),0), 6)</f>
        <v>2.1614810000000002</v>
      </c>
      <c r="D50" s="7">
        <f t="shared" ref="D50:K50" si="15">ROUND(IF(SUM(D14,D44)&lt;&gt;0,SUM(D15,D45)/SUM(D14,D44),0), 6)</f>
        <v>2.2569439999999998</v>
      </c>
      <c r="E50" s="7">
        <f t="shared" si="15"/>
        <v>1.928571</v>
      </c>
      <c r="F50" s="7">
        <f t="shared" si="15"/>
        <v>1.454545</v>
      </c>
      <c r="G50" s="7">
        <f t="shared" si="15"/>
        <v>0</v>
      </c>
      <c r="H50" s="7">
        <f t="shared" si="15"/>
        <v>1.454545</v>
      </c>
      <c r="I50" s="7">
        <f t="shared" si="15"/>
        <v>1.587302</v>
      </c>
      <c r="J50" s="7">
        <f t="shared" si="15"/>
        <v>1.606061</v>
      </c>
      <c r="K50" s="7">
        <f t="shared" si="15"/>
        <v>2.0845069999999999</v>
      </c>
      <c r="L50" s="175"/>
    </row>
    <row r="51" spans="1:12" ht="15.75" thickBot="1" x14ac:dyDescent="0.3">
      <c r="A51" s="20" t="s">
        <v>58</v>
      </c>
      <c r="B51" s="32" t="s">
        <v>146</v>
      </c>
      <c r="C51" s="10"/>
      <c r="D51" s="21">
        <f>ROUND(((1-((1-Detail!E23) * Detail!E24)) ^ (Calculations!$C$2 - Calculations!$C$12) * Detail!E22), 6)</f>
        <v>2.2569439999999998</v>
      </c>
      <c r="E51" s="21">
        <f>ROUND(((1-((1-Detail!F23) * Detail!F24)) ^ (Calculations!$C$2 - Calculations!$C$12) * Detail!F22), 6)</f>
        <v>1.928571</v>
      </c>
      <c r="F51" s="10"/>
      <c r="G51" s="10"/>
      <c r="H51" s="21">
        <f>ROUND(((1-((1-Detail!I23) * Detail!I24)) ^ (Calculations!$C$2 - Calculations!$C$12) * Detail!I22), 6)</f>
        <v>1.443184</v>
      </c>
      <c r="I51" s="21">
        <f>ROUND(((1-((1-Detail!J23) * Detail!J24)) ^ (Calculations!$C$2 - Calculations!$C$12) * Detail!J22), 6)</f>
        <v>1.587302</v>
      </c>
      <c r="J51" s="10"/>
      <c r="K51" s="21">
        <f>ROUND(((1-((1-Detail!D55) * Detail!D56)) ^ (Calculations!$C$2 - Calculations!$C$12) * Detail!D54), 6)</f>
        <v>2.0845069999999999</v>
      </c>
      <c r="L51" s="160"/>
    </row>
    <row r="52" spans="1:12" ht="15.75" thickBot="1" x14ac:dyDescent="0.3">
      <c r="A52" s="190" t="s">
        <v>54</v>
      </c>
      <c r="B52" s="190"/>
      <c r="C52" s="190"/>
      <c r="D52" s="190"/>
      <c r="E52" s="190"/>
      <c r="F52" s="190"/>
      <c r="G52" s="190"/>
      <c r="H52" s="190"/>
      <c r="I52" s="190"/>
      <c r="J52" s="190"/>
      <c r="K52" s="190"/>
    </row>
    <row r="53" spans="1:12" x14ac:dyDescent="0.25">
      <c r="A53" s="191" t="s">
        <v>77</v>
      </c>
      <c r="B53" s="111" t="s">
        <v>140</v>
      </c>
      <c r="C53" s="57">
        <f>SUM(D53,J53)</f>
        <v>815</v>
      </c>
      <c r="D53" s="42">
        <f>Detail!E9</f>
        <v>683</v>
      </c>
      <c r="E53" s="42">
        <f>Detail!F9</f>
        <v>18</v>
      </c>
      <c r="F53" s="114"/>
      <c r="G53" s="145"/>
      <c r="H53" s="42">
        <f>Detail!I9</f>
        <v>33</v>
      </c>
      <c r="I53" s="42">
        <f>Detail!J9</f>
        <v>81</v>
      </c>
      <c r="J53" s="63">
        <f>SUM(E53,H53,I53)</f>
        <v>132</v>
      </c>
      <c r="K53" s="114"/>
      <c r="L53" s="118"/>
    </row>
    <row r="54" spans="1:12" x14ac:dyDescent="0.25">
      <c r="A54" s="192"/>
      <c r="B54" s="49" t="s">
        <v>13</v>
      </c>
      <c r="C54" s="91">
        <f>SUM(D54,J54)</f>
        <v>673</v>
      </c>
      <c r="D54" s="83">
        <f>Detail!E17</f>
        <v>574</v>
      </c>
      <c r="E54" s="83">
        <f>Detail!F17</f>
        <v>14</v>
      </c>
      <c r="F54" s="125"/>
      <c r="G54" s="161"/>
      <c r="H54" s="83">
        <f>Detail!I17</f>
        <v>22</v>
      </c>
      <c r="I54" s="83">
        <f>Detail!J17</f>
        <v>63</v>
      </c>
      <c r="J54" s="102">
        <f>SUM(E54,H54,I54)</f>
        <v>99</v>
      </c>
      <c r="K54" s="125"/>
      <c r="L54" s="128"/>
    </row>
    <row r="55" spans="1:12" x14ac:dyDescent="0.25">
      <c r="A55" s="192"/>
      <c r="B55" s="49" t="s">
        <v>98</v>
      </c>
      <c r="C55" s="14">
        <f>IF(SUM(IF(D54&gt;0,1,0),IF(E54&gt;0,1,0),IF(H54&gt;0,1,0),IF(I54&gt;0,1,0))&gt;1, IF(C53&lt;&gt;0, C54/C53, 0), IF(D54&lt;&gt;0, D55, IF(E54&lt;&gt;0, E55, IF(H54&lt;&gt;0, H55, IF(I54&lt;&gt;0, I55, 0)))))</f>
        <v>0.82576687116564418</v>
      </c>
      <c r="D55" s="52">
        <f>Detail!E13</f>
        <v>0.84087599999999996</v>
      </c>
      <c r="E55" s="52">
        <f>Detail!F13</f>
        <v>0.77777799999999997</v>
      </c>
      <c r="F55" s="125"/>
      <c r="G55" s="161"/>
      <c r="H55" s="52">
        <f>Detail!I13</f>
        <v>0.66666700000000001</v>
      </c>
      <c r="I55" s="52">
        <f>Detail!J13</f>
        <v>0.77777799999999997</v>
      </c>
      <c r="J55" s="22">
        <f>IF(SUM(IF(E54&gt;0,1,0),IF(H54&gt;0,1,0),IF(I54&gt;0,1,0))&gt;1, IF(J53&lt;&gt;0, J54/J53, 0), IF(E54&lt;&gt;0, E55, IF(H54&lt;&gt;0, H55, IF(I54&lt;&gt;0, I55, 0))))</f>
        <v>0.75</v>
      </c>
      <c r="K55" s="125"/>
      <c r="L55" s="128"/>
    </row>
    <row r="56" spans="1:12" x14ac:dyDescent="0.25">
      <c r="A56" s="192"/>
      <c r="B56" s="49" t="s">
        <v>33</v>
      </c>
      <c r="C56" s="91">
        <f>SUM(D56,J56)</f>
        <v>1454</v>
      </c>
      <c r="D56" s="83">
        <f>Detail!E30</f>
        <v>1295</v>
      </c>
      <c r="E56" s="83">
        <f>Detail!F30</f>
        <v>27</v>
      </c>
      <c r="F56" s="125"/>
      <c r="G56" s="161"/>
      <c r="H56" s="83">
        <f>Detail!I30</f>
        <v>32</v>
      </c>
      <c r="I56" s="83">
        <f>Detail!J30</f>
        <v>100</v>
      </c>
      <c r="J56" s="102">
        <f>SUM(E56,H56,I56)</f>
        <v>159</v>
      </c>
      <c r="K56" s="125"/>
      <c r="L56" s="128"/>
    </row>
    <row r="57" spans="1:12" ht="15.75" thickBot="1" x14ac:dyDescent="0.3">
      <c r="A57" s="193"/>
      <c r="B57" s="130" t="s">
        <v>146</v>
      </c>
      <c r="C57" s="64">
        <f>IF(C54&lt;&gt;0, C56/C54, 0)</f>
        <v>2.1604754829123327</v>
      </c>
      <c r="D57" s="135">
        <f>Detail!E26</f>
        <v>2.2569439999999998</v>
      </c>
      <c r="E57" s="135">
        <f>Detail!F26</f>
        <v>1.928571</v>
      </c>
      <c r="F57" s="2"/>
      <c r="G57" s="126"/>
      <c r="H57" s="135">
        <f>Detail!I26</f>
        <v>1.454545</v>
      </c>
      <c r="I57" s="135">
        <f>Detail!J26</f>
        <v>1.587302</v>
      </c>
      <c r="J57" s="113">
        <f>IF(J54&lt;&gt;0, J56/J54, 0)</f>
        <v>1.606060606060606</v>
      </c>
      <c r="K57" s="2"/>
      <c r="L57" s="105"/>
    </row>
    <row r="58" spans="1:12" x14ac:dyDescent="0.25">
      <c r="A58" s="191" t="s">
        <v>8</v>
      </c>
      <c r="B58" s="111" t="s">
        <v>140</v>
      </c>
      <c r="C58" s="57">
        <f>Calculations!C53 + Summary!C8 + Summary!C12</f>
        <v>815</v>
      </c>
      <c r="D58" s="63">
        <f>Calculations!D53 + Summary!D8 + Summary!D12</f>
        <v>683</v>
      </c>
      <c r="E58" s="63">
        <f>Calculations!E53 + Summary!E8 + Summary!E12</f>
        <v>18</v>
      </c>
      <c r="F58" s="114"/>
      <c r="G58" s="145"/>
      <c r="H58" s="63">
        <f>Calculations!H53 + Summary!F8 + Summary!F12</f>
        <v>33</v>
      </c>
      <c r="I58" s="63">
        <f>Calculations!I53 + Summary!G8 + Summary!G12</f>
        <v>81</v>
      </c>
      <c r="J58" s="63">
        <f>Calculations!J53 + Summary!H8 + Summary!H12</f>
        <v>132</v>
      </c>
      <c r="K58" s="114"/>
      <c r="L58" s="118"/>
    </row>
    <row r="59" spans="1:12" x14ac:dyDescent="0.25">
      <c r="A59" s="192"/>
      <c r="B59" s="49" t="s">
        <v>13</v>
      </c>
      <c r="C59" s="91">
        <f>Calculations!C54 + Summary!C9 + Summary!C13</f>
        <v>673</v>
      </c>
      <c r="D59" s="102">
        <f>Calculations!D54 + Summary!D9 + Summary!D13</f>
        <v>574</v>
      </c>
      <c r="E59" s="102">
        <f>Calculations!E54 + Summary!E9 + Summary!E13</f>
        <v>14</v>
      </c>
      <c r="F59" s="125"/>
      <c r="G59" s="161"/>
      <c r="H59" s="102">
        <f>Calculations!H54 + Summary!F9 + Summary!F13</f>
        <v>22</v>
      </c>
      <c r="I59" s="102">
        <f>Calculations!I54 + Summary!G9 + Summary!G13</f>
        <v>63</v>
      </c>
      <c r="J59" s="102">
        <f>Calculations!J54 + Summary!H9 + Summary!H13</f>
        <v>99</v>
      </c>
      <c r="K59" s="125"/>
      <c r="L59" s="128"/>
    </row>
    <row r="60" spans="1:12" x14ac:dyDescent="0.25">
      <c r="A60" s="192"/>
      <c r="B60" s="49" t="s">
        <v>98</v>
      </c>
      <c r="C60" s="36">
        <f>IF(SUM(Summary!C$9, Summary!C$13)&gt;0, IF(Calculations!C58&lt;&gt;0, Calculations!C59/Calculations!C58, 0), Calculations!C55)</f>
        <v>0.82576687116564418</v>
      </c>
      <c r="D60" s="22">
        <f>IF(SUM(Summary!D$9, Summary!D$13)&gt;0, IF(Calculations!D58&lt;&gt;0, Calculations!D59/Calculations!D58, 0), Calculations!D55)</f>
        <v>0.84087599999999996</v>
      </c>
      <c r="E60" s="22">
        <f>IF(SUM(Summary!E$9, Summary!E$13)&gt;0, IF(Calculations!E58&lt;&gt;0, Calculations!E59/Calculations!E58, 0), Calculations!E55)</f>
        <v>0.77777799999999997</v>
      </c>
      <c r="F60" s="125"/>
      <c r="G60" s="161"/>
      <c r="H60" s="22">
        <f>IF(SUM(Summary!F$9, Summary!F$13)&gt;0, IF(Calculations!H58&lt;&gt;0, Calculations!H59/Calculations!H58, 0), Calculations!H55)</f>
        <v>0.66666700000000001</v>
      </c>
      <c r="I60" s="22">
        <f>IF(SUM(Summary!G$9, Summary!G$13)&gt;0, IF(Calculations!I58&lt;&gt;0, Calculations!I59/Calculations!I58, 0), Calculations!I55)</f>
        <v>0.77777799999999997</v>
      </c>
      <c r="J60" s="22">
        <f>IF(SUM(Summary!H$9, Summary!H$13)&gt;0, IF(Calculations!J58&lt;&gt;0, Calculations!J59/Calculations!J58, 0), Calculations!J55)</f>
        <v>0.75</v>
      </c>
      <c r="K60" s="125"/>
      <c r="L60" s="128"/>
    </row>
    <row r="61" spans="1:12" x14ac:dyDescent="0.25">
      <c r="A61" s="192"/>
      <c r="B61" s="49" t="s">
        <v>33</v>
      </c>
      <c r="C61" s="91">
        <f>Calculations!C56 + Summary!C10 + Summary!C14</f>
        <v>1454</v>
      </c>
      <c r="D61" s="102">
        <f>Calculations!D56 + Summary!D10 + Summary!D14</f>
        <v>1295</v>
      </c>
      <c r="E61" s="102">
        <f>Calculations!E56 + Summary!E10 + Summary!E14</f>
        <v>27</v>
      </c>
      <c r="F61" s="125"/>
      <c r="G61" s="161"/>
      <c r="H61" s="102">
        <f>Calculations!H56 + Summary!F10 + Summary!F14</f>
        <v>32</v>
      </c>
      <c r="I61" s="102">
        <f>Calculations!I56 + Summary!G10 + Summary!G14</f>
        <v>100</v>
      </c>
      <c r="J61" s="102">
        <f>Calculations!J56 + Summary!H10 + Summary!H14</f>
        <v>159</v>
      </c>
      <c r="K61" s="125"/>
      <c r="L61" s="128"/>
    </row>
    <row r="62" spans="1:12" ht="15.75" thickBot="1" x14ac:dyDescent="0.3">
      <c r="A62" s="193"/>
      <c r="B62" s="130" t="s">
        <v>146</v>
      </c>
      <c r="C62" s="64">
        <f>IF(SUM(Summary!C$9, Summary!C$13)&gt;0, IF(Calculations!C59&lt;&gt;0, Calculations!C61/Calculations!C59, 0), Calculations!C57)</f>
        <v>2.1604754829123327</v>
      </c>
      <c r="D62" s="113">
        <f>IF(SUM(Summary!D$9, Summary!D$13)&gt;0, IF(Calculations!D59&lt;&gt;0, Calculations!D61/Calculations!D59, 0), Calculations!D57)</f>
        <v>2.2569439999999998</v>
      </c>
      <c r="E62" s="113">
        <f>IF(SUM(Summary!E$9, Summary!E$13)&gt;0, IF(Calculations!E59&lt;&gt;0, Calculations!E61/Calculations!E59, 0), Calculations!E57)</f>
        <v>1.928571</v>
      </c>
      <c r="F62" s="2"/>
      <c r="G62" s="126"/>
      <c r="H62" s="113">
        <f>IF(SUM(Summary!F$9, Summary!F$13)&gt;0, IF(Calculations!H59&lt;&gt;0, Calculations!H61/Calculations!H59, 0), Calculations!H57)</f>
        <v>1.454545</v>
      </c>
      <c r="I62" s="113">
        <f>IF(SUM(Summary!G$9, Summary!G$13)&gt;0, IF(Calculations!I59&lt;&gt;0, Calculations!I61/Calculations!I59, 0), Calculations!I57)</f>
        <v>1.587302</v>
      </c>
      <c r="J62" s="113">
        <f>IF(SUM(Summary!H$9, Summary!H$13)&gt;0, IF(Calculations!J59&lt;&gt;0, Calculations!J61/Calculations!J59, 0), Calculations!J57)</f>
        <v>1.606060606060606</v>
      </c>
      <c r="K62" s="2"/>
      <c r="L62" s="105"/>
    </row>
    <row r="63" spans="1:12" x14ac:dyDescent="0.25">
      <c r="A63" s="194" t="s">
        <v>90</v>
      </c>
      <c r="B63" s="6" t="s">
        <v>140</v>
      </c>
      <c r="C63" s="115">
        <f>SUM(K63,L63)</f>
        <v>82</v>
      </c>
      <c r="D63" s="114"/>
      <c r="E63" s="123"/>
      <c r="F63" s="123"/>
      <c r="G63" s="123"/>
      <c r="H63" s="123"/>
      <c r="I63" s="123"/>
      <c r="J63" s="145"/>
      <c r="K63" s="162">
        <f>Detail!D38</f>
        <v>77</v>
      </c>
      <c r="L63" s="68">
        <f>Detail!D70</f>
        <v>5</v>
      </c>
    </row>
    <row r="64" spans="1:12" x14ac:dyDescent="0.25">
      <c r="A64" s="192"/>
      <c r="B64" s="49" t="s">
        <v>13</v>
      </c>
      <c r="C64" s="91">
        <f>SUM(K64,L64)</f>
        <v>73</v>
      </c>
      <c r="D64" s="125"/>
      <c r="E64" s="137"/>
      <c r="F64" s="137"/>
      <c r="G64" s="137"/>
      <c r="H64" s="137"/>
      <c r="I64" s="137"/>
      <c r="J64" s="161"/>
      <c r="K64" s="83">
        <f>Detail!D48</f>
        <v>68</v>
      </c>
      <c r="L64" s="176">
        <f>Detail!E70</f>
        <v>5</v>
      </c>
    </row>
    <row r="65" spans="1:12" x14ac:dyDescent="0.25">
      <c r="A65" s="192"/>
      <c r="B65" s="49" t="s">
        <v>98</v>
      </c>
      <c r="C65" s="84">
        <f>IF(OR(SUM(K64,L64)=0, L64=0), K65, IF(K64=0, L65, IF(C63&lt;&gt;0, C64/C63, 0)))</f>
        <v>0.8902439024390244</v>
      </c>
      <c r="D65" s="125"/>
      <c r="E65" s="137"/>
      <c r="F65" s="137"/>
      <c r="G65" s="137"/>
      <c r="H65" s="137"/>
      <c r="I65" s="137"/>
      <c r="J65" s="161"/>
      <c r="K65" s="52">
        <f>Detail!D42</f>
        <v>0.88749999999999996</v>
      </c>
      <c r="L65" s="148">
        <f>IF(L63&lt;&gt;0, L64/L63, 0)</f>
        <v>1</v>
      </c>
    </row>
    <row r="66" spans="1:12" x14ac:dyDescent="0.25">
      <c r="A66" s="192"/>
      <c r="B66" s="49" t="s">
        <v>33</v>
      </c>
      <c r="C66" s="91">
        <f>SUM(K66,L66)</f>
        <v>149</v>
      </c>
      <c r="D66" s="125"/>
      <c r="E66" s="137"/>
      <c r="F66" s="137"/>
      <c r="G66" s="137"/>
      <c r="H66" s="137"/>
      <c r="I66" s="137"/>
      <c r="J66" s="161"/>
      <c r="K66" s="83">
        <f>Detail!D62</f>
        <v>142</v>
      </c>
      <c r="L66" s="176">
        <f>Detail!G70</f>
        <v>7</v>
      </c>
    </row>
    <row r="67" spans="1:12" ht="15.75" thickBot="1" x14ac:dyDescent="0.3">
      <c r="A67" s="193"/>
      <c r="B67" s="130" t="s">
        <v>146</v>
      </c>
      <c r="C67" s="84">
        <f>IF(OR(SUM(K66,L66)=0, L66=0), K67, IF(K66=0, L67, IF(C64&lt;&gt;0, C66/C64, 0)))</f>
        <v>2.0410958904109591</v>
      </c>
      <c r="D67" s="2"/>
      <c r="E67" s="112"/>
      <c r="F67" s="112"/>
      <c r="G67" s="112"/>
      <c r="H67" s="112"/>
      <c r="I67" s="112"/>
      <c r="J67" s="126"/>
      <c r="K67" s="135">
        <f>Detail!D58</f>
        <v>2.0845069999999999</v>
      </c>
      <c r="L67" s="69">
        <f>IF(L64&lt;&gt;0, L66/L64, 0)</f>
        <v>1.4</v>
      </c>
    </row>
    <row r="68" spans="1:12" x14ac:dyDescent="0.25">
      <c r="A68" s="194" t="s">
        <v>89</v>
      </c>
      <c r="B68" s="6" t="s">
        <v>140</v>
      </c>
      <c r="C68" s="57">
        <f>Calculations!C63 + Summary!C29 + Summary!C33</f>
        <v>82</v>
      </c>
      <c r="D68" s="114"/>
      <c r="E68" s="123"/>
      <c r="F68" s="123"/>
      <c r="G68" s="123"/>
      <c r="H68" s="123"/>
      <c r="I68" s="123"/>
      <c r="J68" s="145"/>
      <c r="K68" s="63">
        <f>Calculations!K63 + Summary!D29 + Summary!D33</f>
        <v>77</v>
      </c>
      <c r="L68" s="72">
        <f>Calculations!L63 + Summary!E29 + Summary!E33</f>
        <v>5</v>
      </c>
    </row>
    <row r="69" spans="1:12" x14ac:dyDescent="0.25">
      <c r="A69" s="192"/>
      <c r="B69" s="49" t="s">
        <v>13</v>
      </c>
      <c r="C69" s="91">
        <f>Calculations!C64 + Summary!C30 + Summary!C34</f>
        <v>73</v>
      </c>
      <c r="D69" s="125"/>
      <c r="E69" s="137"/>
      <c r="F69" s="137"/>
      <c r="G69" s="137"/>
      <c r="H69" s="137"/>
      <c r="I69" s="137"/>
      <c r="J69" s="161"/>
      <c r="K69" s="102">
        <f>Calculations!K64 + Summary!D30 + Summary!D34</f>
        <v>68</v>
      </c>
      <c r="L69" s="146">
        <f>Calculations!L64 + Summary!E30 + Summary!E34</f>
        <v>5</v>
      </c>
    </row>
    <row r="70" spans="1:12" x14ac:dyDescent="0.25">
      <c r="A70" s="192"/>
      <c r="B70" s="49" t="s">
        <v>98</v>
      </c>
      <c r="C70" s="36">
        <f>IF(SUM(Summary!C$30, Summary!C$34)&gt;0, IF(Calculations!C68&lt;&gt;0, Calculations!C69/Calculations!C68, 0), Calculations!C65)</f>
        <v>0.8902439024390244</v>
      </c>
      <c r="D70" s="125"/>
      <c r="E70" s="137"/>
      <c r="F70" s="137"/>
      <c r="G70" s="137"/>
      <c r="H70" s="137"/>
      <c r="I70" s="137"/>
      <c r="J70" s="161"/>
      <c r="K70" s="22">
        <f>IF(SUM(Summary!D$30, Summary!D$34)&gt;0, IF(Calculations!K68&lt;&gt;0, Calculations!K69/Calculations!K68, 0), Calculations!K65)</f>
        <v>0.88749999999999996</v>
      </c>
      <c r="L70" s="163">
        <f>IF(SUM(Summary!E$30, Summary!E$34)&gt;0, IF(Calculations!L68&lt;&gt;0, Calculations!L69/Calculations!L68, 0), Calculations!L65)</f>
        <v>1</v>
      </c>
    </row>
    <row r="71" spans="1:12" x14ac:dyDescent="0.25">
      <c r="A71" s="192"/>
      <c r="B71" s="49" t="s">
        <v>33</v>
      </c>
      <c r="C71" s="91">
        <f>Calculations!C66 + Summary!C31 + Summary!C35</f>
        <v>149</v>
      </c>
      <c r="D71" s="125"/>
      <c r="E71" s="137"/>
      <c r="F71" s="137"/>
      <c r="G71" s="137"/>
      <c r="H71" s="137"/>
      <c r="I71" s="137"/>
      <c r="J71" s="161"/>
      <c r="K71" s="102">
        <f>Calculations!K66 + Summary!D31 + Summary!D35</f>
        <v>142</v>
      </c>
      <c r="L71" s="146">
        <f>Calculations!L66 + Summary!E31 + Summary!E35</f>
        <v>7</v>
      </c>
    </row>
    <row r="72" spans="1:12" ht="15.75" thickBot="1" x14ac:dyDescent="0.3">
      <c r="A72" s="195"/>
      <c r="B72" s="90" t="s">
        <v>146</v>
      </c>
      <c r="C72" s="36">
        <f>IF(SUM(Summary!C$30, Summary!C$34)&gt;0, IF(Calculations!C69&lt;&gt;0, Calculations!C71/Calculations!C69, 0), Calculations!C67)</f>
        <v>2.0410958904109591</v>
      </c>
      <c r="D72" s="2"/>
      <c r="E72" s="112"/>
      <c r="F72" s="112"/>
      <c r="G72" s="112"/>
      <c r="H72" s="112"/>
      <c r="I72" s="112"/>
      <c r="J72" s="126"/>
      <c r="K72" s="113">
        <f>IF(SUM(Summary!D$30, Summary!D$34)&gt;0, IF(Calculations!K69&lt;&gt;0, Calculations!K71/Calculations!K69, 0), Calculations!K67)</f>
        <v>2.0845069999999999</v>
      </c>
      <c r="L72" s="11">
        <f>IF(SUM(Summary!E$30, Summary!E$34)&gt;0, IF(Calculations!L69&lt;&gt;0, Calculations!L71/Calculations!L69, 0), Calculations!L67)</f>
        <v>1.4</v>
      </c>
    </row>
    <row r="73" spans="1:12" x14ac:dyDescent="0.25">
      <c r="A73" s="184" t="s">
        <v>32</v>
      </c>
      <c r="B73" s="15" t="s">
        <v>3</v>
      </c>
      <c r="C73" s="28">
        <f>Summary!C51</f>
        <v>1658</v>
      </c>
      <c r="D73" s="123"/>
      <c r="E73" s="123"/>
      <c r="F73" s="123"/>
      <c r="G73" s="123"/>
      <c r="H73" s="123"/>
      <c r="I73" s="123"/>
      <c r="J73" s="123"/>
      <c r="K73" s="137"/>
      <c r="L73" s="118"/>
    </row>
    <row r="74" spans="1:12" x14ac:dyDescent="0.25">
      <c r="A74" s="185"/>
      <c r="B74" s="108" t="s">
        <v>109</v>
      </c>
      <c r="C74" s="36">
        <f>IF(C73 &lt; 10000, 5, IF(C73 &lt; 100000, 10, 100))</f>
        <v>5</v>
      </c>
      <c r="D74" s="137"/>
      <c r="E74" s="137"/>
      <c r="F74" s="137"/>
      <c r="G74" s="137"/>
      <c r="H74" s="137"/>
      <c r="I74" s="137"/>
      <c r="J74" s="137"/>
      <c r="K74" s="137"/>
      <c r="L74" s="128"/>
    </row>
    <row r="75" spans="1:12" x14ac:dyDescent="0.25">
      <c r="A75" s="185"/>
      <c r="B75" s="108" t="s">
        <v>55</v>
      </c>
      <c r="C75" s="36">
        <f>IF(C73 &lt; 10000, 3, IF(C73 &lt; 100000, 5, 50))</f>
        <v>3</v>
      </c>
      <c r="D75" s="137"/>
      <c r="E75" s="137"/>
      <c r="F75" s="137"/>
      <c r="G75" s="137"/>
      <c r="H75" s="137"/>
      <c r="I75" s="137"/>
      <c r="J75" s="137"/>
      <c r="K75" s="137"/>
      <c r="L75" s="128"/>
    </row>
    <row r="76" spans="1:12" x14ac:dyDescent="0.25">
      <c r="A76" s="185"/>
      <c r="B76" s="108" t="s">
        <v>63</v>
      </c>
      <c r="C76" s="91">
        <f>MOD(C73, C74)</f>
        <v>3</v>
      </c>
      <c r="D76" s="137"/>
      <c r="E76" s="137"/>
      <c r="F76" s="137"/>
      <c r="G76" s="137"/>
      <c r="H76" s="137"/>
      <c r="I76" s="137"/>
      <c r="J76" s="137"/>
      <c r="K76" s="137"/>
      <c r="L76" s="128"/>
    </row>
    <row r="77" spans="1:12" ht="15.75" thickBot="1" x14ac:dyDescent="0.3">
      <c r="A77" s="186"/>
      <c r="B77" s="39" t="s">
        <v>32</v>
      </c>
      <c r="C77" s="64">
        <f>IF(C76&lt;C75, C73 - C76, C73 + (C74-C76))</f>
        <v>1660</v>
      </c>
      <c r="D77" s="112"/>
      <c r="E77" s="112"/>
      <c r="F77" s="112"/>
      <c r="G77" s="112"/>
      <c r="H77" s="112"/>
      <c r="I77" s="112"/>
      <c r="J77" s="112"/>
      <c r="K77" s="112"/>
      <c r="L77" s="105"/>
    </row>
  </sheetData>
  <mergeCells count="15">
    <mergeCell ref="A2:A4"/>
    <mergeCell ref="A73:A77"/>
    <mergeCell ref="A30:A35"/>
    <mergeCell ref="A6:A11"/>
    <mergeCell ref="A12:A17"/>
    <mergeCell ref="A42:A47"/>
    <mergeCell ref="A48:A50"/>
    <mergeCell ref="A36:A41"/>
    <mergeCell ref="A18:A23"/>
    <mergeCell ref="A24:A29"/>
    <mergeCell ref="A52:K52"/>
    <mergeCell ref="A53:A57"/>
    <mergeCell ref="A58:A62"/>
    <mergeCell ref="A63:A67"/>
    <mergeCell ref="A68:A72"/>
  </mergeCells>
  <printOptions headings="1"/>
  <pageMargins left="0.7" right="0.7" top="0.75" bottom="0.75" header="0.3" footer="0.3"/>
  <pageSetup paperSize="17" scale="60" fitToWidth="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topLeftCell="A23" zoomScaleNormal="100" zoomScaleSheetLayoutView="100" workbookViewId="0">
      <selection activeCell="D52" sqref="D52"/>
    </sheetView>
  </sheetViews>
  <sheetFormatPr defaultColWidth="4.7109375" defaultRowHeight="15" x14ac:dyDescent="0.25"/>
  <cols>
    <col min="1" max="1" width="4.7109375" style="141"/>
    <col min="2" max="2" width="41" style="159" customWidth="1"/>
    <col min="3" max="3" width="8.28515625" style="159" customWidth="1"/>
    <col min="4" max="11" width="17.140625" style="159" customWidth="1"/>
    <col min="12" max="16384" width="4.7109375" style="159"/>
  </cols>
  <sheetData>
    <row r="1" spans="1:11" ht="15.75" x14ac:dyDescent="0.25">
      <c r="A1" s="197" t="str">
        <f>CONCATENATE(Calculations!C2, " - ", Calculations!C3, ", ", Calculations!C4)</f>
        <v>2016 - Ritzville, Adams County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</row>
    <row r="2" spans="1:11" x14ac:dyDescent="0.25">
      <c r="B2" s="196" t="s">
        <v>68</v>
      </c>
      <c r="C2" s="196"/>
      <c r="D2" s="196"/>
      <c r="E2" s="196"/>
      <c r="F2" s="196"/>
      <c r="G2" s="196"/>
      <c r="H2" s="196"/>
      <c r="I2" s="196"/>
      <c r="J2" s="196"/>
      <c r="K2" s="196"/>
    </row>
    <row r="3" spans="1:11" s="80" customFormat="1" x14ac:dyDescent="0.25">
      <c r="A3" s="13"/>
      <c r="B3" s="154" t="s">
        <v>140</v>
      </c>
      <c r="C3" s="58" t="s">
        <v>31</v>
      </c>
      <c r="D3" s="67" t="s">
        <v>92</v>
      </c>
      <c r="E3" s="67" t="s">
        <v>78</v>
      </c>
      <c r="F3" s="67" t="s">
        <v>23</v>
      </c>
      <c r="G3" s="67" t="s">
        <v>65</v>
      </c>
      <c r="H3" s="67" t="s">
        <v>10</v>
      </c>
      <c r="I3" s="67" t="s">
        <v>50</v>
      </c>
      <c r="J3" s="67" t="s">
        <v>96</v>
      </c>
      <c r="K3" s="67" t="s">
        <v>112</v>
      </c>
    </row>
    <row r="4" spans="1:11" x14ac:dyDescent="0.25">
      <c r="B4" s="58" t="s">
        <v>80</v>
      </c>
      <c r="C4" s="122" t="str">
        <f>Calculations!$C$12</f>
        <v>2010</v>
      </c>
      <c r="D4" s="134">
        <f>E4+K4</f>
        <v>817</v>
      </c>
      <c r="E4" s="134">
        <f>Detail!E2</f>
        <v>685</v>
      </c>
      <c r="F4" s="134">
        <f>Detail!F2</f>
        <v>18</v>
      </c>
      <c r="G4" s="134">
        <f>Detail!G2</f>
        <v>33</v>
      </c>
      <c r="H4" s="134">
        <f>Detail!H2</f>
        <v>0</v>
      </c>
      <c r="I4" s="134">
        <f>G4+H4</f>
        <v>33</v>
      </c>
      <c r="J4" s="134">
        <f>Detail!J2</f>
        <v>81</v>
      </c>
      <c r="K4" s="134">
        <f>F4+I4+J4</f>
        <v>132</v>
      </c>
    </row>
    <row r="5" spans="1:11" x14ac:dyDescent="0.25">
      <c r="B5" s="58" t="s">
        <v>74</v>
      </c>
      <c r="C5" s="122" t="str">
        <f>Calculations!$C$5</f>
        <v>2010-16</v>
      </c>
      <c r="D5" s="134">
        <f>E5+K5</f>
        <v>1</v>
      </c>
      <c r="E5" s="134">
        <f>Detail!E3</f>
        <v>1</v>
      </c>
      <c r="F5" s="134">
        <f>Detail!F3</f>
        <v>0</v>
      </c>
      <c r="G5" s="134">
        <f>Detail!G3</f>
        <v>0</v>
      </c>
      <c r="H5" s="134">
        <f>Detail!H3</f>
        <v>0</v>
      </c>
      <c r="I5" s="134">
        <f>G5+H5</f>
        <v>0</v>
      </c>
      <c r="J5" s="134">
        <f>Detail!J3</f>
        <v>0</v>
      </c>
      <c r="K5" s="134">
        <f>F5+I5+J5</f>
        <v>0</v>
      </c>
    </row>
    <row r="6" spans="1:11" x14ac:dyDescent="0.25">
      <c r="B6" s="58" t="s">
        <v>70</v>
      </c>
      <c r="C6" s="122" t="str">
        <f>Calculations!$C$5</f>
        <v>2010-16</v>
      </c>
      <c r="D6" s="134">
        <f>E6+K6</f>
        <v>1</v>
      </c>
      <c r="E6" s="134">
        <f>Detail!E4</f>
        <v>1</v>
      </c>
      <c r="F6" s="134">
        <f>Detail!F4</f>
        <v>0</v>
      </c>
      <c r="G6" s="134">
        <f>Detail!G4</f>
        <v>0</v>
      </c>
      <c r="H6" s="134">
        <f>Detail!H4</f>
        <v>0</v>
      </c>
      <c r="I6" s="134">
        <f>G6+H6</f>
        <v>0</v>
      </c>
      <c r="J6" s="134">
        <f>Detail!J4</f>
        <v>0</v>
      </c>
      <c r="K6" s="134">
        <f>F6+I6+J6</f>
        <v>0</v>
      </c>
    </row>
    <row r="7" spans="1:11" x14ac:dyDescent="0.25">
      <c r="B7" s="58" t="s">
        <v>108</v>
      </c>
      <c r="C7" s="122" t="str">
        <f>Calculations!$C$5</f>
        <v>2010-16</v>
      </c>
      <c r="D7" s="134">
        <f t="shared" ref="D7:K7" si="0">D5-D6</f>
        <v>0</v>
      </c>
      <c r="E7" s="134">
        <f t="shared" si="0"/>
        <v>0</v>
      </c>
      <c r="F7" s="134">
        <f t="shared" si="0"/>
        <v>0</v>
      </c>
      <c r="G7" s="134">
        <f t="shared" si="0"/>
        <v>0</v>
      </c>
      <c r="H7" s="134">
        <f t="shared" si="0"/>
        <v>0</v>
      </c>
      <c r="I7" s="134">
        <f t="shared" si="0"/>
        <v>0</v>
      </c>
      <c r="J7" s="134">
        <f t="shared" si="0"/>
        <v>0</v>
      </c>
      <c r="K7" s="134">
        <f t="shared" si="0"/>
        <v>0</v>
      </c>
    </row>
    <row r="8" spans="1:11" x14ac:dyDescent="0.25">
      <c r="B8" s="58" t="s">
        <v>51</v>
      </c>
      <c r="C8" s="122" t="str">
        <f>Calculations!$C$5</f>
        <v>2010-16</v>
      </c>
      <c r="D8" s="134">
        <f>E8+K8</f>
        <v>3</v>
      </c>
      <c r="E8" s="134">
        <f>Detail!E6</f>
        <v>3</v>
      </c>
      <c r="F8" s="134">
        <f>Detail!F6</f>
        <v>0</v>
      </c>
      <c r="G8" s="134">
        <f>Detail!G6</f>
        <v>0</v>
      </c>
      <c r="H8" s="134">
        <f>Detail!H6</f>
        <v>0</v>
      </c>
      <c r="I8" s="134">
        <f>G8+H8</f>
        <v>0</v>
      </c>
      <c r="J8" s="134">
        <f>Detail!J6</f>
        <v>0</v>
      </c>
      <c r="K8" s="134">
        <f>F8+I8+J8</f>
        <v>0</v>
      </c>
    </row>
    <row r="9" spans="1:11" x14ac:dyDescent="0.25">
      <c r="B9" s="58" t="s">
        <v>20</v>
      </c>
      <c r="C9" s="122" t="str">
        <f>Calculations!$C$42</f>
        <v>2010-15</v>
      </c>
      <c r="D9" s="134">
        <f>E9+K9</f>
        <v>0</v>
      </c>
      <c r="E9" s="134">
        <f>Detail!E7</f>
        <v>0</v>
      </c>
      <c r="F9" s="134">
        <f>Detail!F7</f>
        <v>0</v>
      </c>
      <c r="G9" s="134">
        <f>Detail!G7</f>
        <v>0</v>
      </c>
      <c r="H9" s="134">
        <f>Detail!H7</f>
        <v>0</v>
      </c>
      <c r="I9" s="134">
        <f>G9+H9</f>
        <v>0</v>
      </c>
      <c r="J9" s="134">
        <f>Detail!J7</f>
        <v>0</v>
      </c>
      <c r="K9" s="134">
        <f>F9+I9+J9</f>
        <v>0</v>
      </c>
    </row>
    <row r="10" spans="1:11" x14ac:dyDescent="0.25">
      <c r="B10" s="58" t="s">
        <v>73</v>
      </c>
      <c r="C10" s="46" t="str">
        <f>Calculations!$C$5</f>
        <v>2010-16</v>
      </c>
      <c r="D10" s="134">
        <f t="shared" ref="D10:K10" si="1">D6-D8+D9</f>
        <v>-2</v>
      </c>
      <c r="E10" s="25">
        <f t="shared" si="1"/>
        <v>-2</v>
      </c>
      <c r="F10" s="134">
        <f t="shared" si="1"/>
        <v>0</v>
      </c>
      <c r="G10" s="134">
        <f t="shared" si="1"/>
        <v>0</v>
      </c>
      <c r="H10" s="134">
        <f t="shared" si="1"/>
        <v>0</v>
      </c>
      <c r="I10" s="134">
        <f t="shared" si="1"/>
        <v>0</v>
      </c>
      <c r="J10" s="134">
        <f t="shared" si="1"/>
        <v>0</v>
      </c>
      <c r="K10" s="134">
        <f t="shared" si="1"/>
        <v>0</v>
      </c>
    </row>
    <row r="11" spans="1:11" x14ac:dyDescent="0.25">
      <c r="B11" s="58" t="s">
        <v>120</v>
      </c>
      <c r="C11" s="122" t="str">
        <f>Calculations!$C$2</f>
        <v>2016</v>
      </c>
      <c r="D11" s="134">
        <f t="shared" ref="D11:K11" si="2">D4+D10</f>
        <v>815</v>
      </c>
      <c r="E11" s="134">
        <f t="shared" si="2"/>
        <v>683</v>
      </c>
      <c r="F11" s="134">
        <f t="shared" si="2"/>
        <v>18</v>
      </c>
      <c r="G11" s="134">
        <f t="shared" si="2"/>
        <v>33</v>
      </c>
      <c r="H11" s="134">
        <f t="shared" si="2"/>
        <v>0</v>
      </c>
      <c r="I11" s="134">
        <f t="shared" si="2"/>
        <v>33</v>
      </c>
      <c r="J11" s="134">
        <f t="shared" si="2"/>
        <v>81</v>
      </c>
      <c r="K11" s="134">
        <f t="shared" si="2"/>
        <v>132</v>
      </c>
    </row>
    <row r="12" spans="1:11" x14ac:dyDescent="0.25">
      <c r="A12" s="71"/>
      <c r="B12" s="140" t="s">
        <v>13</v>
      </c>
      <c r="C12" s="140"/>
      <c r="D12" s="140"/>
      <c r="E12" s="140"/>
      <c r="F12" s="140"/>
      <c r="G12" s="140"/>
      <c r="H12" s="140"/>
      <c r="I12" s="140"/>
      <c r="J12" s="140"/>
      <c r="K12" s="140"/>
    </row>
    <row r="13" spans="1:11" x14ac:dyDescent="0.25">
      <c r="A13" s="71"/>
      <c r="B13" s="58" t="s">
        <v>83</v>
      </c>
      <c r="C13" s="122" t="str">
        <f>Calculations!$C$6</f>
        <v>2010</v>
      </c>
      <c r="D13" s="26">
        <f>ROUND(IF(D$11&lt;&gt;0, D17/D$11, 0), 6)</f>
        <v>0.82576700000000003</v>
      </c>
      <c r="E13" s="26">
        <f>Calculations!D10</f>
        <v>0.84087599999999996</v>
      </c>
      <c r="F13" s="26">
        <f>Calculations!E10</f>
        <v>0.77777799999999997</v>
      </c>
      <c r="G13" s="120"/>
      <c r="H13" s="120"/>
      <c r="I13" s="26">
        <f>Calculations!H10</f>
        <v>0.66666700000000001</v>
      </c>
      <c r="J13" s="26">
        <f>Calculations!I10</f>
        <v>0.77777799999999997</v>
      </c>
      <c r="K13" s="26">
        <f>ROUND(IF(K$11&lt;&gt;0, K17/K$11, 0), 6)</f>
        <v>0.75</v>
      </c>
    </row>
    <row r="14" spans="1:11" x14ac:dyDescent="0.25">
      <c r="A14" s="71"/>
      <c r="B14" s="58" t="s">
        <v>118</v>
      </c>
      <c r="C14" s="122" t="str">
        <f>Calculations!$C$12</f>
        <v>2010</v>
      </c>
      <c r="D14" s="26">
        <f>ROUND(IF(D$11&lt;&gt;0, D18/D$11, 0), 6)</f>
        <v>0.82576700000000003</v>
      </c>
      <c r="E14" s="26">
        <f>Calculations!D16</f>
        <v>0.84087599999999996</v>
      </c>
      <c r="F14" s="26">
        <f>Calculations!E16</f>
        <v>0.77777799999999997</v>
      </c>
      <c r="G14" s="120"/>
      <c r="H14" s="120"/>
      <c r="I14" s="26">
        <f>Calculations!H16</f>
        <v>0.66666700000000001</v>
      </c>
      <c r="J14" s="26">
        <f>Calculations!I16</f>
        <v>0.77777799999999997</v>
      </c>
      <c r="K14" s="26">
        <f>ROUND(IF(K$11&lt;&gt;0, K18/K$11, 0), 6)</f>
        <v>0.75</v>
      </c>
    </row>
    <row r="15" spans="1:11" x14ac:dyDescent="0.25">
      <c r="A15" s="71"/>
      <c r="B15" s="58" t="s">
        <v>30</v>
      </c>
      <c r="C15" s="122" t="str">
        <f>Calculations!$C$48</f>
        <v>2010-15</v>
      </c>
      <c r="D15" s="26">
        <f>ROUND(IF(D$11&lt;&gt;0, D19/D$11, 0), 6)</f>
        <v>0.82576700000000003</v>
      </c>
      <c r="E15" s="26">
        <f>Calculations!D49</f>
        <v>0.84087599999999996</v>
      </c>
      <c r="F15" s="26">
        <f>Calculations!E49</f>
        <v>0.77777799999999997</v>
      </c>
      <c r="G15" s="120"/>
      <c r="H15" s="120"/>
      <c r="I15" s="26">
        <f>Calculations!H49</f>
        <v>0.66666700000000001</v>
      </c>
      <c r="J15" s="26">
        <f>Calculations!I49</f>
        <v>0.77777799999999997</v>
      </c>
      <c r="K15" s="26">
        <f>ROUND(IF(K$11&lt;&gt;0, K19/K$11, 0), 6)</f>
        <v>0.75</v>
      </c>
    </row>
    <row r="16" spans="1:11" x14ac:dyDescent="0.25">
      <c r="A16" s="71"/>
      <c r="B16" s="58" t="s">
        <v>39</v>
      </c>
      <c r="C16" s="122" t="str">
        <f>Calculations!$C$2</f>
        <v>2016</v>
      </c>
      <c r="D16" s="26">
        <f>ROUND(IF(D$11&lt;&gt;0, D20/D$11, 0), 6)</f>
        <v>0.82822099999999998</v>
      </c>
      <c r="E16" s="155">
        <f>Detail!E14</f>
        <v>0.84387599999999996</v>
      </c>
      <c r="F16" s="155">
        <f>Detail!F14</f>
        <v>0.77777799999999997</v>
      </c>
      <c r="G16" s="120"/>
      <c r="H16" s="120"/>
      <c r="I16" s="155">
        <f>Detail!I14</f>
        <v>0.66666700000000001</v>
      </c>
      <c r="J16" s="155">
        <f>Detail!J14</f>
        <v>0.77777799999999997</v>
      </c>
      <c r="K16" s="26">
        <f>ROUND(IF(K$11&lt;&gt;0, K20/K$11, 0), 6)</f>
        <v>0.75</v>
      </c>
    </row>
    <row r="17" spans="1:12" x14ac:dyDescent="0.25">
      <c r="A17" s="71"/>
      <c r="B17" s="58" t="s">
        <v>130</v>
      </c>
      <c r="C17" s="122" t="str">
        <f>Calculations!$C$2</f>
        <v>2016</v>
      </c>
      <c r="D17" s="134">
        <f>E17+F17+I17+J17</f>
        <v>673</v>
      </c>
      <c r="E17" s="134">
        <f t="shared" ref="E17:F20" si="3">ROUND(E$11*E13,0)</f>
        <v>574</v>
      </c>
      <c r="F17" s="134">
        <f t="shared" si="3"/>
        <v>14</v>
      </c>
      <c r="G17" s="120"/>
      <c r="H17" s="120"/>
      <c r="I17" s="134">
        <f t="shared" ref="I17:J20" si="4">ROUND(I$11*I13,0)</f>
        <v>22</v>
      </c>
      <c r="J17" s="134">
        <f t="shared" si="4"/>
        <v>63</v>
      </c>
      <c r="K17" s="134">
        <f>F17+I17+J17</f>
        <v>99</v>
      </c>
    </row>
    <row r="18" spans="1:12" x14ac:dyDescent="0.25">
      <c r="A18" s="71"/>
      <c r="B18" s="58" t="s">
        <v>145</v>
      </c>
      <c r="C18" s="122" t="str">
        <f>Calculations!$C$2</f>
        <v>2016</v>
      </c>
      <c r="D18" s="134">
        <f>E18+F18+I18+J18</f>
        <v>673</v>
      </c>
      <c r="E18" s="134">
        <f t="shared" si="3"/>
        <v>574</v>
      </c>
      <c r="F18" s="134">
        <f t="shared" si="3"/>
        <v>14</v>
      </c>
      <c r="G18" s="120"/>
      <c r="H18" s="120"/>
      <c r="I18" s="134">
        <f t="shared" si="4"/>
        <v>22</v>
      </c>
      <c r="J18" s="134">
        <f t="shared" si="4"/>
        <v>63</v>
      </c>
      <c r="K18" s="134">
        <f>F18+I18+J18</f>
        <v>99</v>
      </c>
    </row>
    <row r="19" spans="1:12" x14ac:dyDescent="0.25">
      <c r="A19" s="71"/>
      <c r="B19" s="58" t="s">
        <v>79</v>
      </c>
      <c r="C19" s="122" t="str">
        <f>Calculations!$C$2</f>
        <v>2016</v>
      </c>
      <c r="D19" s="134">
        <f>E19+F19+I19+J19</f>
        <v>673</v>
      </c>
      <c r="E19" s="134">
        <f t="shared" si="3"/>
        <v>574</v>
      </c>
      <c r="F19" s="134">
        <f t="shared" si="3"/>
        <v>14</v>
      </c>
      <c r="G19" s="120"/>
      <c r="H19" s="120"/>
      <c r="I19" s="134">
        <f t="shared" si="4"/>
        <v>22</v>
      </c>
      <c r="J19" s="134">
        <f t="shared" si="4"/>
        <v>63</v>
      </c>
      <c r="K19" s="134">
        <f>F19+I19+J19</f>
        <v>99</v>
      </c>
    </row>
    <row r="20" spans="1:12" x14ac:dyDescent="0.25">
      <c r="A20" s="71"/>
      <c r="B20" s="58" t="s">
        <v>62</v>
      </c>
      <c r="C20" s="122" t="str">
        <f>Calculations!$C$2</f>
        <v>2016</v>
      </c>
      <c r="D20" s="134">
        <f>E20+F20+I20+J20</f>
        <v>675</v>
      </c>
      <c r="E20" s="134">
        <f t="shared" si="3"/>
        <v>576</v>
      </c>
      <c r="F20" s="134">
        <f t="shared" si="3"/>
        <v>14</v>
      </c>
      <c r="G20" s="120"/>
      <c r="H20" s="120"/>
      <c r="I20" s="134">
        <f t="shared" si="4"/>
        <v>22</v>
      </c>
      <c r="J20" s="134">
        <f t="shared" si="4"/>
        <v>63</v>
      </c>
      <c r="K20" s="134">
        <f>F20+I20+J20</f>
        <v>99</v>
      </c>
    </row>
    <row r="21" spans="1:12" x14ac:dyDescent="0.25">
      <c r="A21" s="71"/>
      <c r="B21" s="140" t="s">
        <v>33</v>
      </c>
      <c r="C21" s="140"/>
      <c r="D21" s="140"/>
      <c r="E21" s="140"/>
      <c r="F21" s="140"/>
      <c r="G21" s="140"/>
      <c r="H21" s="140"/>
      <c r="I21" s="140"/>
      <c r="J21" s="140"/>
      <c r="K21" s="140"/>
    </row>
    <row r="22" spans="1:12" x14ac:dyDescent="0.25">
      <c r="A22" s="71"/>
      <c r="B22" s="58" t="s">
        <v>27</v>
      </c>
      <c r="C22" s="122" t="str">
        <f>Calculations!$C$6</f>
        <v>2010</v>
      </c>
      <c r="D22" s="26">
        <f>Calculations!C11</f>
        <v>2.1614810000000002</v>
      </c>
      <c r="E22" s="26">
        <f>Calculations!D11</f>
        <v>2.2569439999999998</v>
      </c>
      <c r="F22" s="26">
        <f>Calculations!E11</f>
        <v>1.928571</v>
      </c>
      <c r="G22" s="120"/>
      <c r="H22" s="120"/>
      <c r="I22" s="26">
        <f>Calculations!H11</f>
        <v>1.454545</v>
      </c>
      <c r="J22" s="26">
        <f>Calculations!I11</f>
        <v>1.587302</v>
      </c>
      <c r="K22" s="26">
        <f>Calculations!J11</f>
        <v>1.606061</v>
      </c>
    </row>
    <row r="23" spans="1:12" x14ac:dyDescent="0.25">
      <c r="A23" s="71"/>
      <c r="B23" s="58" t="s">
        <v>99</v>
      </c>
      <c r="C23" s="1" t="str">
        <f>Calculations!$C$30</f>
        <v>2000</v>
      </c>
      <c r="D23" s="26">
        <f>Calculations!C35</f>
        <v>2.1617440000000001</v>
      </c>
      <c r="E23" s="26">
        <f>Calculations!D35</f>
        <v>2.2532679999999998</v>
      </c>
      <c r="F23" s="26">
        <f>Calculations!E35</f>
        <v>1.857143</v>
      </c>
      <c r="G23" s="120"/>
      <c r="H23" s="120"/>
      <c r="I23" s="26">
        <f>Calculations!H35</f>
        <v>1.473684</v>
      </c>
      <c r="J23" s="26">
        <f>Calculations!I35</f>
        <v>1.575758</v>
      </c>
      <c r="K23" s="26">
        <f>Calculations!J35</f>
        <v>1.59596</v>
      </c>
      <c r="L23" s="79"/>
    </row>
    <row r="24" spans="1:12" x14ac:dyDescent="0.25">
      <c r="A24" s="71"/>
      <c r="B24" s="58" t="s">
        <v>117</v>
      </c>
      <c r="C24" s="122" t="str">
        <f>Calculations!$C$12</f>
        <v>2010</v>
      </c>
      <c r="D24" s="26">
        <f>ROUND(IF(D18&lt;&gt;0, D30/D18, 0), 6)</f>
        <v>2.1604749999999999</v>
      </c>
      <c r="E24" s="26">
        <f>Calculations!D17</f>
        <v>2.2569439999999998</v>
      </c>
      <c r="F24" s="26">
        <f>Calculations!E17</f>
        <v>1.928571</v>
      </c>
      <c r="G24" s="120"/>
      <c r="H24" s="120"/>
      <c r="I24" s="26">
        <f>Calculations!H17</f>
        <v>1.454545</v>
      </c>
      <c r="J24" s="26">
        <f>Calculations!I17</f>
        <v>1.587302</v>
      </c>
      <c r="K24" s="26">
        <f>ROUND(IF(K18&lt;&gt;0, K30/K18, 0), 6)</f>
        <v>1.606061</v>
      </c>
    </row>
    <row r="25" spans="1:12" x14ac:dyDescent="0.25">
      <c r="A25" s="71"/>
      <c r="B25" s="58" t="s">
        <v>49</v>
      </c>
      <c r="C25" s="81"/>
      <c r="D25" s="74"/>
      <c r="E25" s="26">
        <f>ROUND(IF(E$23 &lt;&gt; 0, (E$24/E$23)^(1/($C$24-$C$23)), 0), 6)</f>
        <v>1.0001629999999999</v>
      </c>
      <c r="F25" s="26">
        <f>ROUND(IF(F$23 &lt;&gt; 0, (F$24/F$23)^(1/($C$24-$C$23)), 0), 6)</f>
        <v>1.003781</v>
      </c>
      <c r="G25" s="156"/>
      <c r="H25" s="156"/>
      <c r="I25" s="26">
        <f>ROUND(IF(I$23 &lt;&gt; 0, (I$24/I$23)^(1/($C$24-$C$23)), 0), 6)</f>
        <v>0.99869399999999997</v>
      </c>
      <c r="J25" s="26">
        <f>ROUND(IF(J$23 &lt;&gt; 0, (J$24/J$23)^(1/($C$24-$C$23)), 0), 6)</f>
        <v>1.0007299999999999</v>
      </c>
      <c r="K25" s="120"/>
    </row>
    <row r="26" spans="1:12" x14ac:dyDescent="0.25">
      <c r="A26" s="71"/>
      <c r="B26" s="58" t="s">
        <v>123</v>
      </c>
      <c r="C26" s="81"/>
      <c r="D26" s="74"/>
      <c r="E26" s="155">
        <f>Detail!E24</f>
        <v>0</v>
      </c>
      <c r="F26" s="155">
        <f>Detail!F24</f>
        <v>0</v>
      </c>
      <c r="G26" s="156"/>
      <c r="H26" s="156"/>
      <c r="I26" s="155">
        <f>Detail!I24</f>
        <v>1</v>
      </c>
      <c r="J26" s="155">
        <f>Detail!J24</f>
        <v>0</v>
      </c>
      <c r="K26" s="120"/>
    </row>
    <row r="27" spans="1:12" x14ac:dyDescent="0.25">
      <c r="A27" s="71"/>
      <c r="B27" s="58" t="s">
        <v>17</v>
      </c>
      <c r="C27" s="81"/>
      <c r="D27" s="26">
        <f>IF(OR(D24&lt;1, D23&lt;1, D18 = 0), 0, IF(AND((D31/D18)&gt;0, (D31/D18)&lt;1), 1, ROUND(D31/D18, 6)))</f>
        <v>2.1604749999999999</v>
      </c>
      <c r="E27" s="26">
        <f>IF(OR(Detail!E22&lt;1, Detail!E21&lt;1), 0, IF(AND(Calculations!D51&gt;0, Calculations!D51&lt;1), 1,  Calculations!D51))</f>
        <v>2.2569439999999998</v>
      </c>
      <c r="F27" s="26">
        <f>IF(OR(Detail!F22&lt;1, Detail!F21&lt;1), 0, IF(AND(Calculations!E51&gt;0, Calculations!E51&lt;1), 1,  Calculations!E51))</f>
        <v>1.928571</v>
      </c>
      <c r="G27" s="156"/>
      <c r="H27" s="156"/>
      <c r="I27" s="26">
        <f>IF(OR(Detail!I22&lt;1, Detail!I21&lt;1), 0, IF(AND(Calculations!H51&gt;0, Calculations!H51&lt;1), 1,  Calculations!H51))</f>
        <v>1.443184</v>
      </c>
      <c r="J27" s="26">
        <f>IF(OR(Detail!J22&lt;1, Detail!J21&lt;1), 0, IF(AND(Calculations!I51&gt;0, Calculations!I51&lt;1), 1,  Calculations!I51))</f>
        <v>1.587302</v>
      </c>
      <c r="K27" s="26">
        <f>IF(OR(K24&lt;1, K23&lt;1, K18=0), 0, IF(AND((K31/K18)&gt;0, (K31/K18)&lt;1), 1, ROUND(K31/K18, 6)))</f>
        <v>1.606061</v>
      </c>
    </row>
    <row r="28" spans="1:12" x14ac:dyDescent="0.25">
      <c r="A28" s="71"/>
      <c r="B28" s="58" t="s">
        <v>93</v>
      </c>
      <c r="C28" s="122" t="str">
        <f>Calculations!$C$48</f>
        <v>2010-15</v>
      </c>
      <c r="D28" s="26">
        <f>ROUND(IF(D19 &lt;&gt; 0, D32/D19, 0), 6)</f>
        <v>2.1604749999999999</v>
      </c>
      <c r="E28" s="26">
        <f>Calculations!D50</f>
        <v>2.2569439999999998</v>
      </c>
      <c r="F28" s="26">
        <f>Calculations!E50</f>
        <v>1.928571</v>
      </c>
      <c r="G28" s="120"/>
      <c r="H28" s="120"/>
      <c r="I28" s="26">
        <f>Calculations!H50</f>
        <v>1.454545</v>
      </c>
      <c r="J28" s="26">
        <f>Calculations!I50</f>
        <v>1.587302</v>
      </c>
      <c r="K28" s="26">
        <f>ROUND(IF(K19 &lt;&gt; 0, K32/K19, 0), 6)</f>
        <v>1.606061</v>
      </c>
    </row>
    <row r="29" spans="1:12" x14ac:dyDescent="0.25">
      <c r="A29" s="71"/>
      <c r="B29" s="58" t="s">
        <v>115</v>
      </c>
      <c r="C29" s="122" t="str">
        <f>Calculations!$C$2</f>
        <v>2016</v>
      </c>
      <c r="D29" s="26">
        <f>ROUND(IF(D20 &lt;&gt; 0, D33/D20, 0), 6)</f>
        <v>2.1614810000000002</v>
      </c>
      <c r="E29" s="155">
        <f>Detail!E27</f>
        <v>2.2569439999999998</v>
      </c>
      <c r="F29" s="155">
        <f>Detail!F27</f>
        <v>1.928571</v>
      </c>
      <c r="G29" s="120"/>
      <c r="H29" s="120"/>
      <c r="I29" s="155">
        <f>Detail!I27</f>
        <v>1.454545</v>
      </c>
      <c r="J29" s="155">
        <f>Detail!J27</f>
        <v>1.587302</v>
      </c>
      <c r="K29" s="26">
        <f>ROUND(IF(K20 &lt;&gt; 0, K33/K20, 0), 6)</f>
        <v>1.606061</v>
      </c>
    </row>
    <row r="30" spans="1:12" x14ac:dyDescent="0.25">
      <c r="A30" s="71" t="str">
        <f>IF(Detail!A28, "X", "")</f>
        <v/>
      </c>
      <c r="B30" s="58" t="s">
        <v>126</v>
      </c>
      <c r="C30" s="122" t="str">
        <f>Calculations!$C$2</f>
        <v>2016</v>
      </c>
      <c r="D30" s="134">
        <f>E30+F30+I30+J30</f>
        <v>1454</v>
      </c>
      <c r="E30" s="134">
        <f>ROUND(E18*E24, 0)</f>
        <v>1295</v>
      </c>
      <c r="F30" s="134">
        <f>ROUND(F18*F24, 0)</f>
        <v>27</v>
      </c>
      <c r="G30" s="89"/>
      <c r="H30" s="120"/>
      <c r="I30" s="134">
        <f>ROUND(I18*I24, 0)</f>
        <v>32</v>
      </c>
      <c r="J30" s="134">
        <f>ROUND(J18*J24, 0)</f>
        <v>100</v>
      </c>
      <c r="K30" s="134">
        <f>F30+I30+J30</f>
        <v>159</v>
      </c>
    </row>
    <row r="31" spans="1:12" x14ac:dyDescent="0.25">
      <c r="A31" s="71" t="str">
        <f>IF(Detail!A29, "X", "")</f>
        <v/>
      </c>
      <c r="B31" s="58" t="s">
        <v>36</v>
      </c>
      <c r="C31" s="122" t="str">
        <f>Calculations!$C$2</f>
        <v>2016</v>
      </c>
      <c r="D31" s="134">
        <f>E31+F31+I31+J31</f>
        <v>1454</v>
      </c>
      <c r="E31" s="134">
        <f t="shared" ref="E31:F33" si="5">ROUND(E18*E27,0)</f>
        <v>1295</v>
      </c>
      <c r="F31" s="134">
        <f t="shared" si="5"/>
        <v>27</v>
      </c>
      <c r="G31" s="89"/>
      <c r="H31" s="120"/>
      <c r="I31" s="134">
        <f t="shared" ref="I31:J33" si="6">ROUND(I18*I27,0)</f>
        <v>32</v>
      </c>
      <c r="J31" s="134">
        <f t="shared" si="6"/>
        <v>100</v>
      </c>
      <c r="K31" s="134">
        <f>F31+I31+J31</f>
        <v>159</v>
      </c>
    </row>
    <row r="32" spans="1:12" x14ac:dyDescent="0.25">
      <c r="A32" s="71" t="str">
        <f>IF(Detail!A30, "X", "")</f>
        <v/>
      </c>
      <c r="B32" s="58" t="s">
        <v>95</v>
      </c>
      <c r="C32" s="122" t="str">
        <f>Calculations!$C$2</f>
        <v>2016</v>
      </c>
      <c r="D32" s="134">
        <f>E32+F32+I32+J32</f>
        <v>1454</v>
      </c>
      <c r="E32" s="134">
        <f t="shared" si="5"/>
        <v>1295</v>
      </c>
      <c r="F32" s="134">
        <f t="shared" si="5"/>
        <v>27</v>
      </c>
      <c r="G32" s="89"/>
      <c r="H32" s="120"/>
      <c r="I32" s="134">
        <f t="shared" si="6"/>
        <v>32</v>
      </c>
      <c r="J32" s="134">
        <f t="shared" si="6"/>
        <v>100</v>
      </c>
      <c r="K32" s="134">
        <f>F32+I32+J32</f>
        <v>159</v>
      </c>
    </row>
    <row r="33" spans="1:11" x14ac:dyDescent="0.25">
      <c r="A33" s="71" t="str">
        <f>IF(Detail!A31, "X", "")</f>
        <v>X</v>
      </c>
      <c r="B33" s="58" t="s">
        <v>94</v>
      </c>
      <c r="C33" s="122" t="str">
        <f>Calculations!$C$2</f>
        <v>2016</v>
      </c>
      <c r="D33" s="134">
        <f>E33+F33+I33+J33</f>
        <v>1459</v>
      </c>
      <c r="E33" s="134">
        <f t="shared" si="5"/>
        <v>1300</v>
      </c>
      <c r="F33" s="134">
        <f t="shared" si="5"/>
        <v>27</v>
      </c>
      <c r="G33" s="120"/>
      <c r="H33" s="120"/>
      <c r="I33" s="134">
        <f t="shared" si="6"/>
        <v>32</v>
      </c>
      <c r="J33" s="134">
        <f t="shared" si="6"/>
        <v>100</v>
      </c>
      <c r="K33" s="134">
        <f>F33+I33+J33</f>
        <v>159</v>
      </c>
    </row>
    <row r="34" spans="1:11" x14ac:dyDescent="0.25">
      <c r="A34" s="71"/>
      <c r="B34" s="58"/>
      <c r="C34" s="122"/>
      <c r="D34" s="134"/>
      <c r="E34" s="134"/>
      <c r="F34" s="134"/>
      <c r="G34" s="120"/>
      <c r="H34" s="120"/>
      <c r="I34" s="134"/>
      <c r="J34" s="134"/>
      <c r="K34" s="134"/>
    </row>
    <row r="35" spans="1:11" x14ac:dyDescent="0.25">
      <c r="B35" s="180" t="s">
        <v>47</v>
      </c>
      <c r="C35" s="180"/>
      <c r="D35" s="180"/>
      <c r="E35" s="180"/>
      <c r="F35" s="180"/>
      <c r="G35" s="180"/>
      <c r="H35" s="180"/>
      <c r="I35" s="180"/>
      <c r="J35" s="180"/>
      <c r="K35" s="180"/>
    </row>
    <row r="36" spans="1:11" s="98" customFormat="1" x14ac:dyDescent="0.25">
      <c r="A36" s="170"/>
      <c r="B36" s="95" t="s">
        <v>140</v>
      </c>
      <c r="C36" s="58" t="s">
        <v>31</v>
      </c>
      <c r="D36" s="67" t="s">
        <v>101</v>
      </c>
      <c r="E36" s="58"/>
      <c r="F36" s="58"/>
      <c r="G36" s="58"/>
      <c r="H36" s="58"/>
      <c r="I36" s="58"/>
      <c r="J36" s="58"/>
      <c r="K36" s="58"/>
    </row>
    <row r="37" spans="1:11" x14ac:dyDescent="0.25">
      <c r="B37" s="58" t="s">
        <v>80</v>
      </c>
      <c r="C37" s="122" t="str">
        <f>Calculations!$C$12</f>
        <v>2010</v>
      </c>
      <c r="D37" s="134">
        <f>Detail!D34</f>
        <v>80</v>
      </c>
      <c r="E37" s="85"/>
      <c r="F37" s="85"/>
      <c r="G37" s="85"/>
      <c r="H37" s="85"/>
      <c r="I37" s="85"/>
      <c r="J37" s="85"/>
      <c r="K37" s="85"/>
    </row>
    <row r="38" spans="1:11" x14ac:dyDescent="0.25">
      <c r="B38" s="58" t="s">
        <v>87</v>
      </c>
      <c r="C38" s="122" t="str">
        <f>Calculations!$C$12</f>
        <v>2010</v>
      </c>
      <c r="D38" s="134">
        <f>Detail!D35</f>
        <v>80</v>
      </c>
      <c r="E38" s="85"/>
      <c r="F38" s="85"/>
      <c r="G38" s="85"/>
      <c r="H38" s="85"/>
      <c r="I38" s="85"/>
      <c r="J38" s="85"/>
      <c r="K38" s="85"/>
    </row>
    <row r="39" spans="1:11" x14ac:dyDescent="0.25">
      <c r="B39" s="58" t="s">
        <v>132</v>
      </c>
      <c r="C39" s="122" t="str">
        <f>Calculations!$C$2</f>
        <v>2016</v>
      </c>
      <c r="D39" s="134">
        <f>Detail!D36</f>
        <v>77</v>
      </c>
      <c r="E39" s="85"/>
      <c r="F39" s="85"/>
      <c r="G39" s="85"/>
      <c r="H39" s="85"/>
      <c r="I39" s="85"/>
      <c r="J39" s="85"/>
      <c r="K39" s="85"/>
    </row>
    <row r="40" spans="1:11" x14ac:dyDescent="0.25">
      <c r="B40" s="58" t="s">
        <v>73</v>
      </c>
      <c r="C40" s="122" t="str">
        <f>Calculations!$C$5</f>
        <v>2010-16</v>
      </c>
      <c r="D40" s="134">
        <f>D39-D38</f>
        <v>-3</v>
      </c>
      <c r="E40" s="85"/>
      <c r="F40" s="85"/>
      <c r="G40" s="85"/>
      <c r="H40" s="85"/>
      <c r="I40" s="85"/>
      <c r="J40" s="85"/>
      <c r="K40" s="85"/>
    </row>
    <row r="41" spans="1:11" x14ac:dyDescent="0.25">
      <c r="A41" s="71" t="str">
        <f>IF(Detail!A38, "X", "")</f>
        <v>X</v>
      </c>
      <c r="B41" s="58" t="s">
        <v>120</v>
      </c>
      <c r="C41" s="122" t="str">
        <f>Calculations!$C$2</f>
        <v>2016</v>
      </c>
      <c r="D41" s="134">
        <f>D37+D40</f>
        <v>77</v>
      </c>
      <c r="E41" s="85"/>
      <c r="F41" s="85"/>
      <c r="G41" s="85"/>
      <c r="H41" s="85"/>
      <c r="I41" s="85"/>
      <c r="J41" s="85"/>
      <c r="K41" s="85"/>
    </row>
    <row r="42" spans="1:11" x14ac:dyDescent="0.25">
      <c r="B42" s="140" t="s">
        <v>13</v>
      </c>
      <c r="C42" s="140"/>
      <c r="D42" s="140"/>
      <c r="E42" s="140"/>
      <c r="F42" s="140"/>
      <c r="G42" s="140"/>
      <c r="H42" s="140"/>
      <c r="I42" s="140"/>
      <c r="J42" s="140"/>
      <c r="K42" s="140"/>
    </row>
    <row r="43" spans="1:11" x14ac:dyDescent="0.25">
      <c r="B43" s="58" t="s">
        <v>83</v>
      </c>
      <c r="C43" s="122" t="str">
        <f>Calculations!$C$6</f>
        <v>2010</v>
      </c>
      <c r="D43" s="26">
        <f>Calculations!K10</f>
        <v>0.88749999999999996</v>
      </c>
      <c r="E43" s="85"/>
      <c r="F43" s="85"/>
      <c r="G43" s="85"/>
      <c r="H43" s="85"/>
      <c r="I43" s="85"/>
      <c r="J43" s="85"/>
      <c r="K43" s="85"/>
    </row>
    <row r="44" spans="1:11" x14ac:dyDescent="0.25">
      <c r="B44" s="58" t="s">
        <v>118</v>
      </c>
      <c r="C44" s="122" t="str">
        <f>Calculations!$C$12</f>
        <v>2010</v>
      </c>
      <c r="D44" s="26">
        <f>Calculations!K16</f>
        <v>0.88749999999999996</v>
      </c>
      <c r="E44" s="85"/>
      <c r="F44" s="85"/>
      <c r="G44" s="85"/>
      <c r="H44" s="85"/>
      <c r="I44" s="85"/>
      <c r="J44" s="85"/>
      <c r="K44" s="85"/>
    </row>
    <row r="45" spans="1:11" x14ac:dyDescent="0.25">
      <c r="B45" s="58" t="s">
        <v>30</v>
      </c>
      <c r="C45" s="122" t="str">
        <f>Calculations!$C$48</f>
        <v>2010-15</v>
      </c>
      <c r="D45" s="26">
        <f>Calculations!K49</f>
        <v>0.88749999999999996</v>
      </c>
      <c r="E45" s="85"/>
      <c r="F45" s="85"/>
      <c r="G45" s="85"/>
      <c r="H45" s="85"/>
      <c r="I45" s="85"/>
      <c r="J45" s="85"/>
      <c r="K45" s="85"/>
    </row>
    <row r="46" spans="1:11" x14ac:dyDescent="0.25">
      <c r="B46" s="81"/>
      <c r="C46" s="81"/>
      <c r="D46" s="81"/>
      <c r="E46" s="85"/>
      <c r="F46" s="85"/>
      <c r="G46" s="85"/>
      <c r="H46" s="85"/>
      <c r="I46" s="85"/>
      <c r="J46" s="85"/>
      <c r="K46" s="85"/>
    </row>
    <row r="47" spans="1:11" x14ac:dyDescent="0.25">
      <c r="B47" s="81"/>
      <c r="C47" s="81"/>
      <c r="D47" s="81"/>
      <c r="E47" s="85"/>
      <c r="F47" s="85"/>
      <c r="G47" s="85"/>
      <c r="H47" s="85"/>
      <c r="I47" s="85"/>
      <c r="J47" s="85"/>
      <c r="K47" s="85"/>
    </row>
    <row r="48" spans="1:11" x14ac:dyDescent="0.25">
      <c r="B48" s="58" t="s">
        <v>39</v>
      </c>
      <c r="C48" s="122" t="str">
        <f>Calculations!$C$2</f>
        <v>2016</v>
      </c>
      <c r="D48" s="155">
        <f>Detail!D45</f>
        <v>0.885911</v>
      </c>
      <c r="E48" s="85"/>
      <c r="F48" s="85"/>
      <c r="G48" s="85"/>
      <c r="H48" s="85"/>
      <c r="I48" s="85"/>
      <c r="J48" s="85"/>
      <c r="K48" s="85"/>
    </row>
    <row r="49" spans="1:11" x14ac:dyDescent="0.25">
      <c r="B49" s="58" t="s">
        <v>130</v>
      </c>
      <c r="C49" s="122" t="str">
        <f>Calculations!$C$2</f>
        <v>2016</v>
      </c>
      <c r="D49" s="134">
        <f>ROUND(ABS($D$41) * D43, 0) * IF($D$41 &lt; 0, -1, 1)</f>
        <v>68</v>
      </c>
      <c r="E49" s="85"/>
      <c r="F49" s="85"/>
      <c r="G49" s="85"/>
      <c r="H49" s="85"/>
      <c r="I49" s="85"/>
      <c r="J49" s="85"/>
      <c r="K49" s="85"/>
    </row>
    <row r="50" spans="1:11" x14ac:dyDescent="0.25">
      <c r="B50" s="58" t="s">
        <v>145</v>
      </c>
      <c r="C50" s="122" t="str">
        <f>Calculations!$C$2</f>
        <v>2016</v>
      </c>
      <c r="D50" s="134">
        <f>ROUND(ABS($D$41) * D44, 0) * IF($D$41 &lt; 0, -1, 1)</f>
        <v>68</v>
      </c>
      <c r="E50" s="85"/>
      <c r="F50" s="85"/>
      <c r="G50" s="85"/>
      <c r="H50" s="85"/>
      <c r="I50" s="85"/>
      <c r="J50" s="85"/>
      <c r="K50" s="85"/>
    </row>
    <row r="51" spans="1:11" x14ac:dyDescent="0.25">
      <c r="B51" s="58" t="s">
        <v>79</v>
      </c>
      <c r="C51" s="122" t="str">
        <f>Calculations!$C$2</f>
        <v>2016</v>
      </c>
      <c r="D51" s="134">
        <f>ROUND(ABS($D$41) * D45, 0) * IF($D$41 &lt; 0, -1, 1)</f>
        <v>68</v>
      </c>
      <c r="E51" s="85"/>
      <c r="F51" s="85"/>
      <c r="G51" s="85"/>
      <c r="H51" s="85"/>
      <c r="I51" s="85"/>
      <c r="J51" s="85"/>
      <c r="K51" s="85"/>
    </row>
    <row r="52" spans="1:11" x14ac:dyDescent="0.25">
      <c r="B52" s="81"/>
      <c r="C52" s="81"/>
      <c r="D52" s="81"/>
      <c r="E52" s="85"/>
      <c r="F52" s="85"/>
      <c r="G52" s="85"/>
      <c r="H52" s="85"/>
      <c r="I52" s="85"/>
      <c r="J52" s="85"/>
      <c r="K52" s="85"/>
    </row>
    <row r="53" spans="1:11" x14ac:dyDescent="0.25">
      <c r="B53" s="58" t="s">
        <v>62</v>
      </c>
      <c r="C53" s="122" t="str">
        <f>Calculations!$C$2</f>
        <v>2016</v>
      </c>
      <c r="D53" s="134">
        <f>ROUND(ABS($D$41) * D48, 0) * IF($D$41 &lt; 0, -1, 1)</f>
        <v>68</v>
      </c>
      <c r="E53" s="85"/>
      <c r="F53" s="85"/>
      <c r="G53" s="85"/>
      <c r="H53" s="85"/>
      <c r="I53" s="85"/>
      <c r="J53" s="85"/>
      <c r="K53" s="85"/>
    </row>
    <row r="54" spans="1:11" x14ac:dyDescent="0.25">
      <c r="B54" s="140" t="s">
        <v>33</v>
      </c>
      <c r="C54" s="140"/>
      <c r="D54" s="140"/>
      <c r="E54" s="140"/>
      <c r="F54" s="140"/>
      <c r="G54" s="140"/>
      <c r="H54" s="140"/>
      <c r="I54" s="140"/>
      <c r="J54" s="140"/>
      <c r="K54" s="140"/>
    </row>
    <row r="55" spans="1:11" x14ac:dyDescent="0.25">
      <c r="B55" s="58" t="s">
        <v>27</v>
      </c>
      <c r="C55" s="122" t="str">
        <f>Calculations!$C$6</f>
        <v>2010</v>
      </c>
      <c r="D55" s="26">
        <f>Calculations!K11</f>
        <v>2.0845069999999999</v>
      </c>
      <c r="E55" s="85"/>
      <c r="F55" s="85"/>
      <c r="G55" s="85"/>
      <c r="H55" s="85"/>
      <c r="I55" s="85"/>
      <c r="J55" s="85"/>
      <c r="K55" s="85"/>
    </row>
    <row r="56" spans="1:11" x14ac:dyDescent="0.25">
      <c r="B56" s="58" t="s">
        <v>99</v>
      </c>
      <c r="C56" s="1" t="str">
        <f>Calculations!$C$36</f>
        <v>2000</v>
      </c>
      <c r="D56" s="26">
        <f>Calculations!K41</f>
        <v>2.03125</v>
      </c>
      <c r="E56" s="85"/>
      <c r="F56" s="85"/>
      <c r="G56" s="85"/>
      <c r="H56" s="85"/>
      <c r="I56" s="85"/>
      <c r="J56" s="85"/>
      <c r="K56" s="85"/>
    </row>
    <row r="57" spans="1:11" x14ac:dyDescent="0.25">
      <c r="B57" s="58" t="s">
        <v>117</v>
      </c>
      <c r="C57" s="122" t="str">
        <f>Calculations!$C$12</f>
        <v>2010</v>
      </c>
      <c r="D57" s="26">
        <f>Calculations!K17</f>
        <v>2.0845069999999999</v>
      </c>
      <c r="E57" s="85"/>
      <c r="F57" s="85"/>
      <c r="G57" s="85"/>
      <c r="H57" s="85"/>
      <c r="I57" s="85"/>
      <c r="J57" s="85"/>
      <c r="K57" s="85"/>
    </row>
    <row r="58" spans="1:11" x14ac:dyDescent="0.25">
      <c r="B58" s="58" t="s">
        <v>49</v>
      </c>
      <c r="C58" s="81"/>
      <c r="D58" s="26">
        <f>ROUND(IF(D56&lt;&gt;0, (D57/D56)^(1/(C57-C56)), 0), 6)</f>
        <v>1.002591</v>
      </c>
      <c r="E58" s="85"/>
      <c r="F58" s="85"/>
      <c r="G58" s="85"/>
      <c r="H58" s="85"/>
      <c r="I58" s="85"/>
      <c r="J58" s="85"/>
      <c r="K58" s="85"/>
    </row>
    <row r="59" spans="1:11" x14ac:dyDescent="0.25">
      <c r="B59" s="58" t="s">
        <v>123</v>
      </c>
      <c r="C59" s="81"/>
      <c r="D59" s="155">
        <f>Detail!D56</f>
        <v>0</v>
      </c>
      <c r="E59" s="85"/>
      <c r="F59" s="85"/>
      <c r="G59" s="85"/>
      <c r="H59" s="85"/>
      <c r="I59" s="85"/>
      <c r="J59" s="85"/>
      <c r="K59" s="85"/>
    </row>
    <row r="60" spans="1:11" x14ac:dyDescent="0.25">
      <c r="B60" s="58" t="s">
        <v>17</v>
      </c>
      <c r="C60" s="81"/>
      <c r="D60" s="26">
        <f>IF(OR(Detail!D54&lt;1, Detail!D53&lt;1), 0, IF(AND(Calculations!K51&gt;0, Calculations!K51&lt;1), 1,  Calculations!K51))</f>
        <v>2.0845069999999999</v>
      </c>
      <c r="E60" s="85"/>
      <c r="F60" s="85"/>
      <c r="G60" s="85"/>
      <c r="H60" s="85"/>
      <c r="I60" s="85"/>
      <c r="J60" s="85"/>
      <c r="K60" s="85"/>
    </row>
    <row r="61" spans="1:11" x14ac:dyDescent="0.25">
      <c r="B61" s="58" t="s">
        <v>93</v>
      </c>
      <c r="C61" s="122" t="str">
        <f>Calculations!$C$48</f>
        <v>2010-15</v>
      </c>
      <c r="D61" s="26">
        <f>Calculations!K50</f>
        <v>2.0845069999999999</v>
      </c>
      <c r="E61" s="85"/>
      <c r="F61" s="85"/>
      <c r="G61" s="85"/>
      <c r="H61" s="85"/>
      <c r="I61" s="85"/>
      <c r="J61" s="85"/>
      <c r="K61" s="85"/>
    </row>
    <row r="62" spans="1:11" x14ac:dyDescent="0.25">
      <c r="B62" s="58" t="s">
        <v>115</v>
      </c>
      <c r="C62" s="122" t="str">
        <f>Calculations!$C$2</f>
        <v>2016</v>
      </c>
      <c r="D62" s="155">
        <f>Detail!D59</f>
        <v>2.0845069999999999</v>
      </c>
      <c r="E62" s="85"/>
      <c r="F62" s="85"/>
      <c r="G62" s="85"/>
      <c r="H62" s="85"/>
      <c r="I62" s="85"/>
      <c r="J62" s="85"/>
      <c r="K62" s="85"/>
    </row>
    <row r="63" spans="1:11" x14ac:dyDescent="0.25">
      <c r="A63" s="71" t="str">
        <f>IF(Detail!A60, "X", "")</f>
        <v/>
      </c>
      <c r="B63" s="58" t="s">
        <v>126</v>
      </c>
      <c r="C63" s="122" t="str">
        <f>Calculations!$C$2</f>
        <v>2016</v>
      </c>
      <c r="D63" s="134">
        <f>ROUND(ABS($D50) * D57, 0) * IF($D$41 &lt; 0, -1, 1)</f>
        <v>142</v>
      </c>
      <c r="E63" s="85"/>
      <c r="F63" s="85"/>
      <c r="G63" s="85"/>
      <c r="H63" s="85"/>
      <c r="I63" s="85"/>
      <c r="J63" s="85"/>
      <c r="K63" s="85"/>
    </row>
    <row r="64" spans="1:11" x14ac:dyDescent="0.25">
      <c r="A64" s="71" t="str">
        <f>IF(Detail!A61, "X", "")</f>
        <v/>
      </c>
      <c r="B64" s="58" t="s">
        <v>36</v>
      </c>
      <c r="C64" s="122" t="str">
        <f>Calculations!$C$2</f>
        <v>2016</v>
      </c>
      <c r="D64" s="134">
        <f>ROUND(ABS($D50) * D60, 0) * IF($D$41 &lt; 0, -1, 1)</f>
        <v>142</v>
      </c>
      <c r="E64" s="85"/>
      <c r="F64" s="85"/>
      <c r="G64" s="85"/>
      <c r="H64" s="85"/>
      <c r="I64" s="85"/>
      <c r="J64" s="85"/>
      <c r="K64" s="85"/>
    </row>
    <row r="65" spans="1:11" x14ac:dyDescent="0.25">
      <c r="A65" s="71" t="str">
        <f>IF(Detail!A62, "X", "")</f>
        <v/>
      </c>
      <c r="B65" s="58" t="s">
        <v>95</v>
      </c>
      <c r="C65" s="122" t="str">
        <f>Calculations!$C$2</f>
        <v>2016</v>
      </c>
      <c r="D65" s="134">
        <f>ROUND(ABS($D51) * D61, 0) * IF($D$41 &lt; 0, -1, 1)</f>
        <v>142</v>
      </c>
      <c r="E65" s="85"/>
      <c r="F65" s="85"/>
      <c r="G65" s="85"/>
      <c r="H65" s="85"/>
      <c r="I65" s="85"/>
      <c r="J65" s="85"/>
      <c r="K65" s="85"/>
    </row>
    <row r="66" spans="1:11" x14ac:dyDescent="0.25">
      <c r="A66" s="71" t="str">
        <f>IF(Detail!A63, "X", "")</f>
        <v>X</v>
      </c>
      <c r="B66" s="58" t="s">
        <v>94</v>
      </c>
      <c r="C66" s="122" t="str">
        <f>Calculations!$C$2</f>
        <v>2016</v>
      </c>
      <c r="D66" s="134">
        <f>ROUND(ABS($D53) * D62, 0) * IF($D$41 &lt; 0, -1, 1)</f>
        <v>142</v>
      </c>
      <c r="E66" s="85"/>
      <c r="F66" s="85"/>
      <c r="G66" s="85"/>
      <c r="H66" s="85"/>
      <c r="I66" s="85"/>
      <c r="J66" s="85"/>
      <c r="K66" s="85"/>
    </row>
    <row r="67" spans="1:11" x14ac:dyDescent="0.25">
      <c r="A67" s="71"/>
      <c r="B67" s="58"/>
      <c r="C67" s="122"/>
      <c r="D67" s="134"/>
      <c r="E67" s="85"/>
      <c r="F67" s="85"/>
      <c r="G67" s="85"/>
      <c r="H67" s="85"/>
      <c r="I67" s="85"/>
      <c r="J67" s="85"/>
      <c r="K67" s="85"/>
    </row>
    <row r="68" spans="1:11" x14ac:dyDescent="0.25">
      <c r="B68" s="180" t="s">
        <v>122</v>
      </c>
      <c r="C68" s="180"/>
      <c r="D68" s="180"/>
      <c r="E68" s="180"/>
      <c r="F68" s="180"/>
      <c r="G68" s="180"/>
      <c r="H68" s="180"/>
      <c r="I68" s="180"/>
      <c r="J68" s="180"/>
      <c r="K68" s="180"/>
    </row>
    <row r="69" spans="1:11" x14ac:dyDescent="0.25">
      <c r="B69" s="76" t="s">
        <v>140</v>
      </c>
      <c r="C69" s="29" t="s">
        <v>31</v>
      </c>
      <c r="D69" s="87" t="s">
        <v>37</v>
      </c>
      <c r="E69" s="87" t="s">
        <v>103</v>
      </c>
      <c r="F69" s="87" t="s">
        <v>131</v>
      </c>
      <c r="G69" s="87" t="s">
        <v>33</v>
      </c>
      <c r="H69" s="29"/>
      <c r="I69" s="29"/>
      <c r="J69" s="29"/>
      <c r="K69" s="29"/>
    </row>
    <row r="70" spans="1:11" x14ac:dyDescent="0.25">
      <c r="B70" s="58" t="s">
        <v>80</v>
      </c>
      <c r="C70" s="122" t="str">
        <f>Calculations!$C$12</f>
        <v>2010</v>
      </c>
      <c r="D70" s="134">
        <f>Detail!D66</f>
        <v>5</v>
      </c>
      <c r="E70" s="134">
        <f>Detail!E66</f>
        <v>5</v>
      </c>
      <c r="F70" s="134">
        <f>D70-E70</f>
        <v>0</v>
      </c>
      <c r="G70" s="134">
        <f>Detail!G66</f>
        <v>7</v>
      </c>
      <c r="H70" s="85"/>
      <c r="I70" s="85"/>
      <c r="J70" s="85"/>
      <c r="K70" s="85"/>
    </row>
    <row r="71" spans="1:11" x14ac:dyDescent="0.25">
      <c r="B71" s="58" t="s">
        <v>87</v>
      </c>
      <c r="C71" s="122" t="str">
        <f>Calculations!$C$12</f>
        <v>2010</v>
      </c>
      <c r="D71" s="134">
        <f>Detail!D67</f>
        <v>5</v>
      </c>
      <c r="E71" s="134">
        <f>Detail!E67</f>
        <v>5</v>
      </c>
      <c r="F71" s="89"/>
      <c r="G71" s="134">
        <f>Detail!G67</f>
        <v>7</v>
      </c>
      <c r="H71" s="85"/>
      <c r="I71" s="85"/>
      <c r="J71" s="85"/>
      <c r="K71" s="85"/>
    </row>
    <row r="72" spans="1:11" x14ac:dyDescent="0.25">
      <c r="B72" s="58" t="s">
        <v>132</v>
      </c>
      <c r="C72" s="122" t="str">
        <f>Calculations!$C$2</f>
        <v>2016</v>
      </c>
      <c r="D72" s="134">
        <f>Detail!D68</f>
        <v>5</v>
      </c>
      <c r="E72" s="134">
        <f>Detail!E68</f>
        <v>5</v>
      </c>
      <c r="F72" s="89"/>
      <c r="G72" s="134">
        <f>Detail!G68</f>
        <v>7</v>
      </c>
      <c r="H72" s="85"/>
      <c r="I72" s="85"/>
      <c r="J72" s="85"/>
      <c r="K72" s="85"/>
    </row>
    <row r="73" spans="1:11" x14ac:dyDescent="0.25">
      <c r="B73" s="58" t="s">
        <v>73</v>
      </c>
      <c r="C73" s="122" t="str">
        <f>Calculations!$C$5</f>
        <v>2010-16</v>
      </c>
      <c r="D73" s="134">
        <f>D72-D71</f>
        <v>0</v>
      </c>
      <c r="E73" s="134">
        <f>E72-E71</f>
        <v>0</v>
      </c>
      <c r="F73" s="89"/>
      <c r="G73" s="134">
        <f>G72-G71</f>
        <v>0</v>
      </c>
      <c r="H73" s="85"/>
      <c r="I73" s="85"/>
      <c r="J73" s="85"/>
      <c r="K73" s="85"/>
    </row>
    <row r="74" spans="1:11" x14ac:dyDescent="0.25">
      <c r="A74" s="71" t="str">
        <f>IF(Detail!A70, "X", "")</f>
        <v>X</v>
      </c>
      <c r="B74" s="58" t="s">
        <v>120</v>
      </c>
      <c r="C74" s="122" t="str">
        <f>Calculations!$C$2</f>
        <v>2016</v>
      </c>
      <c r="D74" s="134">
        <f>D70+D73</f>
        <v>5</v>
      </c>
      <c r="E74" s="134">
        <f>E70+E73</f>
        <v>5</v>
      </c>
      <c r="F74" s="134">
        <f>F70</f>
        <v>0</v>
      </c>
      <c r="G74" s="134">
        <f>G70+G73</f>
        <v>7</v>
      </c>
      <c r="H74" s="85"/>
      <c r="I74" s="85"/>
      <c r="J74" s="85"/>
      <c r="K74" s="85"/>
    </row>
    <row r="75" spans="1:11" x14ac:dyDescent="0.25">
      <c r="A75" s="71"/>
      <c r="B75" s="58"/>
      <c r="C75" s="122"/>
      <c r="D75" s="134"/>
      <c r="E75" s="134"/>
      <c r="F75" s="134"/>
      <c r="G75" s="134"/>
      <c r="H75" s="85"/>
      <c r="I75" s="85"/>
      <c r="J75" s="85"/>
      <c r="K75" s="85"/>
    </row>
    <row r="76" spans="1:11" x14ac:dyDescent="0.25">
      <c r="B76" s="180" t="s">
        <v>9</v>
      </c>
      <c r="C76" s="180"/>
      <c r="D76" s="180"/>
      <c r="E76" s="180"/>
      <c r="F76" s="180"/>
      <c r="G76" s="180"/>
      <c r="H76" s="180"/>
      <c r="I76" s="180"/>
      <c r="J76" s="180"/>
      <c r="K76" s="180"/>
    </row>
    <row r="77" spans="1:11" x14ac:dyDescent="0.25">
      <c r="B77" s="76" t="s">
        <v>140</v>
      </c>
      <c r="C77" s="29" t="s">
        <v>31</v>
      </c>
      <c r="D77" s="87" t="s">
        <v>92</v>
      </c>
      <c r="E77" s="87" t="s">
        <v>5</v>
      </c>
      <c r="F77" s="87" t="s">
        <v>128</v>
      </c>
      <c r="G77" s="87" t="s">
        <v>40</v>
      </c>
      <c r="H77" s="87" t="s">
        <v>0</v>
      </c>
      <c r="I77" s="87" t="s">
        <v>41</v>
      </c>
      <c r="J77" s="29"/>
      <c r="K77" s="29"/>
    </row>
    <row r="78" spans="1:11" x14ac:dyDescent="0.25">
      <c r="B78" s="58" t="s">
        <v>80</v>
      </c>
      <c r="C78" s="122" t="str">
        <f>Calculations!$C$12</f>
        <v>2010</v>
      </c>
      <c r="D78" s="134">
        <f>E78+F78+G78+H78+I78</f>
        <v>59</v>
      </c>
      <c r="E78" s="134">
        <f>Detail!E73</f>
        <v>30</v>
      </c>
      <c r="F78" s="134">
        <f>Detail!F73</f>
        <v>0</v>
      </c>
      <c r="G78" s="134">
        <f>Detail!G73</f>
        <v>28</v>
      </c>
      <c r="H78" s="134">
        <f>Detail!H73</f>
        <v>0</v>
      </c>
      <c r="I78" s="134">
        <f>Detail!I73</f>
        <v>1</v>
      </c>
      <c r="J78" s="85"/>
      <c r="K78" s="85"/>
    </row>
    <row r="79" spans="1:11" x14ac:dyDescent="0.25">
      <c r="B79" s="58" t="s">
        <v>87</v>
      </c>
      <c r="C79" s="122" t="str">
        <f>Calculations!$C$12</f>
        <v>2010</v>
      </c>
      <c r="D79" s="134">
        <f>E79+F79+G79+H79+I79</f>
        <v>29</v>
      </c>
      <c r="E79" s="134">
        <f>Detail!E74</f>
        <v>29</v>
      </c>
      <c r="F79" s="134">
        <f>Detail!F74</f>
        <v>0</v>
      </c>
      <c r="G79" s="134">
        <f>Detail!G74</f>
        <v>0</v>
      </c>
      <c r="H79" s="134">
        <f>Detail!H74</f>
        <v>0</v>
      </c>
      <c r="I79" s="134">
        <f>Detail!I74</f>
        <v>0</v>
      </c>
      <c r="J79" s="85"/>
      <c r="K79" s="85"/>
    </row>
    <row r="80" spans="1:11" x14ac:dyDescent="0.25">
      <c r="B80" s="58" t="s">
        <v>132</v>
      </c>
      <c r="C80" s="122" t="str">
        <f>Calculations!$C$2</f>
        <v>2016</v>
      </c>
      <c r="D80" s="134">
        <f>E80+F80+G80+H80+I80</f>
        <v>20</v>
      </c>
      <c r="E80" s="134">
        <f>Detail!E75</f>
        <v>20</v>
      </c>
      <c r="F80" s="134">
        <f>Detail!F75</f>
        <v>0</v>
      </c>
      <c r="G80" s="134">
        <f>Detail!G75</f>
        <v>0</v>
      </c>
      <c r="H80" s="134">
        <f>Detail!H75</f>
        <v>0</v>
      </c>
      <c r="I80" s="134">
        <f>Detail!I75</f>
        <v>0</v>
      </c>
      <c r="J80" s="85"/>
      <c r="K80" s="85"/>
    </row>
    <row r="81" spans="1:11" x14ac:dyDescent="0.25">
      <c r="B81" s="58" t="s">
        <v>73</v>
      </c>
      <c r="C81" s="122" t="str">
        <f>Calculations!$C$5</f>
        <v>2010-16</v>
      </c>
      <c r="D81" s="134">
        <f t="shared" ref="D81:I81" si="7">D80-D79</f>
        <v>-9</v>
      </c>
      <c r="E81" s="134">
        <f t="shared" si="7"/>
        <v>-9</v>
      </c>
      <c r="F81" s="134">
        <f t="shared" si="7"/>
        <v>0</v>
      </c>
      <c r="G81" s="134">
        <f t="shared" si="7"/>
        <v>0</v>
      </c>
      <c r="H81" s="134">
        <f t="shared" si="7"/>
        <v>0</v>
      </c>
      <c r="I81" s="134">
        <f t="shared" si="7"/>
        <v>0</v>
      </c>
      <c r="J81" s="85"/>
      <c r="K81" s="85"/>
    </row>
    <row r="82" spans="1:11" x14ac:dyDescent="0.25">
      <c r="A82" s="141" t="str">
        <f>IF(Detail!A77, "X", "")</f>
        <v>X</v>
      </c>
      <c r="B82" s="58" t="s">
        <v>120</v>
      </c>
      <c r="C82" s="122" t="str">
        <f>Calculations!$C$2</f>
        <v>2016</v>
      </c>
      <c r="D82" s="134">
        <f t="shared" ref="D82:I82" si="8">D78+D81</f>
        <v>50</v>
      </c>
      <c r="E82" s="134">
        <f t="shared" si="8"/>
        <v>21</v>
      </c>
      <c r="F82" s="134">
        <f t="shared" si="8"/>
        <v>0</v>
      </c>
      <c r="G82" s="134">
        <f t="shared" si="8"/>
        <v>28</v>
      </c>
      <c r="H82" s="134">
        <f t="shared" si="8"/>
        <v>0</v>
      </c>
      <c r="I82" s="134">
        <f t="shared" si="8"/>
        <v>1</v>
      </c>
      <c r="J82" s="85"/>
      <c r="K82" s="85"/>
    </row>
  </sheetData>
  <mergeCells count="5">
    <mergeCell ref="B2:K2"/>
    <mergeCell ref="B68:K68"/>
    <mergeCell ref="B76:K76"/>
    <mergeCell ref="B35:K35"/>
    <mergeCell ref="A1:K1"/>
  </mergeCells>
  <pageMargins left="0.2" right="0.2" top="0.5" bottom="0.5" header="0.3" footer="0.3"/>
  <pageSetup scale="70" fitToHeight="0" orientation="landscape" verticalDpi="0" r:id="rId1"/>
  <headerFooter>
    <oddHeader>&amp;C&amp;"-,Bold"&amp;16Estimate Detail</oddHeader>
    <oddFooter>&amp;LOffice of Financial Management, State of Washington&amp;C&amp;P&amp;R&amp;D  &amp;T     CENEST056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opLeftCell="A25" zoomScaleNormal="100" zoomScaleSheetLayoutView="100" workbookViewId="0">
      <selection activeCell="C20" sqref="C20"/>
    </sheetView>
  </sheetViews>
  <sheetFormatPr defaultColWidth="4.7109375" defaultRowHeight="15" x14ac:dyDescent="0.25"/>
  <cols>
    <col min="1" max="1" width="4.7109375" style="45"/>
    <col min="2" max="2" width="31.28515625" style="85" customWidth="1"/>
    <col min="3" max="9" width="14.85546875" style="173" customWidth="1"/>
    <col min="10" max="16384" width="4.7109375" style="85"/>
  </cols>
  <sheetData>
    <row r="1" spans="1:9" ht="15.75" x14ac:dyDescent="0.25">
      <c r="A1" s="198" t="str">
        <f>CONCATENATE(Calculations!C2, " - ", Calculations!C3, ", ", Calculations!C4)</f>
        <v>2016 - Ritzville, Adams County</v>
      </c>
      <c r="B1" s="198"/>
      <c r="C1" s="198"/>
      <c r="D1" s="198"/>
      <c r="E1" s="198"/>
      <c r="F1" s="198"/>
      <c r="G1" s="198"/>
      <c r="H1" s="198"/>
    </row>
    <row r="2" spans="1:9" x14ac:dyDescent="0.25">
      <c r="B2" s="196" t="s">
        <v>68</v>
      </c>
      <c r="C2" s="196"/>
      <c r="D2" s="196"/>
      <c r="E2" s="196"/>
      <c r="F2" s="196"/>
      <c r="G2" s="196"/>
      <c r="H2" s="196"/>
    </row>
    <row r="3" spans="1:9" s="150" customFormat="1" x14ac:dyDescent="0.25">
      <c r="A3" s="109"/>
      <c r="B3" s="58" t="s">
        <v>46</v>
      </c>
      <c r="C3" s="67" t="s">
        <v>92</v>
      </c>
      <c r="D3" s="67" t="s">
        <v>78</v>
      </c>
      <c r="E3" s="67" t="s">
        <v>23</v>
      </c>
      <c r="F3" s="67" t="s">
        <v>50</v>
      </c>
      <c r="G3" s="67" t="s">
        <v>96</v>
      </c>
      <c r="H3" s="67" t="s">
        <v>112</v>
      </c>
      <c r="I3" s="70"/>
    </row>
    <row r="4" spans="1:9" x14ac:dyDescent="0.25">
      <c r="B4" s="58" t="s">
        <v>26</v>
      </c>
      <c r="C4" s="134">
        <f>D4+E4+F4+G4</f>
        <v>815</v>
      </c>
      <c r="D4" s="134">
        <f>Detail!E$9</f>
        <v>683</v>
      </c>
      <c r="E4" s="134">
        <f>Detail!F$9</f>
        <v>18</v>
      </c>
      <c r="F4" s="134">
        <f>Detail!I9</f>
        <v>33</v>
      </c>
      <c r="G4" s="134">
        <f>Detail!J9</f>
        <v>81</v>
      </c>
      <c r="H4" s="134">
        <f>E4+F4+G4</f>
        <v>132</v>
      </c>
    </row>
    <row r="5" spans="1:9" x14ac:dyDescent="0.25">
      <c r="B5" s="58" t="s">
        <v>38</v>
      </c>
      <c r="C5" s="134">
        <f>D5+E5+F5+G5</f>
        <v>675</v>
      </c>
      <c r="D5" s="25">
        <f>IF(OR(Detail!$A$28, Detail!$A$29), Detail!E$16, IF(Detail!$A$30, Detail!E$17, IF(Detail!$A$31, Detail!E$18, Detail!E$17)))</f>
        <v>576</v>
      </c>
      <c r="E5" s="134">
        <f>IF(OR(Detail!$A$28, Detail!$A$29 ), Detail!F$16, IF(Detail!$A$30, Detail!F$17, IF(Detail!$A$31, Detail!F$18, Detail!F$17)))</f>
        <v>14</v>
      </c>
      <c r="F5" s="134">
        <f>IF(OR(Detail!$A$28, Detail!$A$29 ), Detail!I$16, IF(Detail!$A$30, Detail!I$17, IF(Detail!$A$31, Detail!I$18, Detail!I$17)))</f>
        <v>22</v>
      </c>
      <c r="G5" s="134">
        <f>IF(OR(Detail!$A$28, Detail!$A$29 ), Detail!J$16, IF(Detail!$A$30, Detail!J$17, IF(Detail!$A$31, Detail!J$18, Detail!J$17)))</f>
        <v>63</v>
      </c>
      <c r="H5" s="134">
        <f>E5+F5+G5</f>
        <v>99</v>
      </c>
    </row>
    <row r="6" spans="1:9" x14ac:dyDescent="0.25">
      <c r="B6" s="58" t="s">
        <v>141</v>
      </c>
      <c r="C6" s="26">
        <f>ROUND(IF(SUM(IF(D5&gt;0,1,0),IF(E5&gt;0,1,0),IF(F5&gt;0,1,0),IF(G5&gt;0,1,0))&gt;1, IF(C4 &lt;&gt; 0, C5/C4, 0), IF(D5&lt;&gt;0, D6, IF(E5&lt;&gt;0, E6, IF(F5&lt;&gt;0, F6, IF(G5&lt;&gt;0, G6, 0))))), 6)</f>
        <v>0.82822099999999998</v>
      </c>
      <c r="D6" s="26">
        <f>ROUND(IF(OR(Detail!$A$28, Detail!$A$29), Detail!E$12, IF(Detail!$A$30, Detail!E$13, IF(Detail!$A$31, Detail!E$14, Detail!E$13))), 6)</f>
        <v>0.84387599999999996</v>
      </c>
      <c r="E6" s="26">
        <f>ROUND(IF(OR(Detail!$A$28, Detail!$A$29 ), Detail!F$12, IF(Detail!$A$30, Detail!F$13, IF(Detail!$A$31, Detail!F$14, Detail!F$13))), 6)</f>
        <v>0.77777799999999997</v>
      </c>
      <c r="F6" s="26">
        <f>ROUND(IF(OR(Detail!$A$28, Detail!$A$29 ), Detail!I$12, IF(Detail!$A$30, Detail!I$13, IF(Detail!$A$31, Detail!I$14, Detail!I$13))), 6)</f>
        <v>0.66666700000000001</v>
      </c>
      <c r="G6" s="26">
        <f>ROUND(IF(OR(Detail!$A$28, Detail!$A$29 ), Detail!J$12, IF(Detail!$A$30, Detail!J$13, IF(Detail!$A$31, Detail!J$14, Detail!J$13))), 6)</f>
        <v>0.77777799999999997</v>
      </c>
      <c r="H6" s="26">
        <f>ROUND(IF(SUM(IF(E5&gt;0,1,0),IF(F5&gt;0,1,0),IF(G5&gt;0,1,0))&gt;1, IF(H4 &lt;&gt; 0, H5/H4, 0), IF(E5&lt;&gt;0, E6, IF(F5&lt;&gt;0, F6, IF(G5&lt;&gt;0, G6, 0)))), 6)</f>
        <v>0.75</v>
      </c>
    </row>
    <row r="7" spans="1:9" x14ac:dyDescent="0.25">
      <c r="B7" s="58" t="s">
        <v>85</v>
      </c>
      <c r="C7" s="134">
        <f>D7+E7+F7+G7</f>
        <v>1459</v>
      </c>
      <c r="D7" s="134">
        <f>IF(Detail!$A$28, Detail!E$28, IF(Detail!$A$29, Detail!E$29, IF(Detail!$A$30, Detail!E$30, IF(Detail!$A$31, Detail!E$31, Detail!E$30))))</f>
        <v>1300</v>
      </c>
      <c r="E7" s="134">
        <f>IF(Detail!$A$28, Detail!F$28, IF(Detail!$A$29, Detail!F$29, IF(Detail!$A$30, Detail!F$30, IF(Detail!$A$31, Detail!F$31, Detail!F$30))))</f>
        <v>27</v>
      </c>
      <c r="F7" s="134">
        <f>IF(Detail!$A$28, Detail!I$28, IF(Detail!$A$29, Detail!I$29, IF(Detail!$A$30, Detail!I$30, IF(Detail!$A$31, Detail!I$31, Detail!I$30))))</f>
        <v>32</v>
      </c>
      <c r="G7" s="134">
        <f>IF(Detail!$A$28, Detail!J$28, IF(Detail!$A$29, Detail!J$29, IF(Detail!$A$30, Detail!J$30, IF(Detail!$A$31, Detail!J$31, Detail!J$30))))</f>
        <v>100</v>
      </c>
      <c r="H7" s="134">
        <f>E7+F7+G7</f>
        <v>159</v>
      </c>
    </row>
    <row r="8" spans="1:9" x14ac:dyDescent="0.25">
      <c r="B8" s="58" t="s">
        <v>18</v>
      </c>
      <c r="C8" s="16">
        <f>ROUND(IF(C5&lt;&gt;0, C7/C5, 0), 6)</f>
        <v>2.1614810000000002</v>
      </c>
      <c r="D8" s="16">
        <f>ROUND(IF(Detail!$A$28, Detail!E$22, IF(Detail!$A$29, Detail!E$25, IF(Detail!$A$30, Detail!E$26, IF(Detail!$A$31, Detail!E$27, Detail!E$26)))), 6)</f>
        <v>2.2569439999999998</v>
      </c>
      <c r="E8" s="16">
        <f>ROUND(IF(Detail!$A$28, Detail!F$22, IF(Detail!$A$29, Detail!F$25, IF(Detail!$A$30, Detail!F$26, IF(Detail!$A$31, Detail!F$27, Detail!F$26)))), 6)</f>
        <v>1.928571</v>
      </c>
      <c r="F8" s="16">
        <f>ROUND(IF(Detail!$A$28, Detail!I$22, IF(Detail!$A$29, Detail!I$25, IF(Detail!$A$30, Detail!I$26, IF(Detail!$A$31, Detail!I$27, Detail!I$26)))), 6)</f>
        <v>1.454545</v>
      </c>
      <c r="G8" s="16">
        <f>ROUND(IF(Detail!$A$28, Detail!J$22, IF(Detail!$A$29, Detail!J$25, IF(Detail!$A$30, Detail!J$26, IF(Detail!$A$31, Detail!J$27, Detail!J$26)))), 6)</f>
        <v>1.587302</v>
      </c>
      <c r="H8" s="16">
        <f>ROUND(IF(H5&lt;&gt;0, H7/H5, 0), 6)</f>
        <v>1.606061</v>
      </c>
    </row>
    <row r="9" spans="1:9" x14ac:dyDescent="0.25">
      <c r="B9" s="140" t="s">
        <v>19</v>
      </c>
      <c r="C9" s="140"/>
      <c r="D9" s="140"/>
      <c r="E9" s="140"/>
      <c r="F9" s="140"/>
      <c r="G9" s="140"/>
      <c r="H9" s="140"/>
    </row>
    <row r="10" spans="1:9" x14ac:dyDescent="0.25">
      <c r="B10" s="58" t="s">
        <v>26</v>
      </c>
      <c r="C10" s="134">
        <f>D10+E10+F10+G10</f>
        <v>0</v>
      </c>
      <c r="D10" s="134">
        <f>Summary!D8</f>
        <v>0</v>
      </c>
      <c r="E10" s="134">
        <f>Summary!E8</f>
        <v>0</v>
      </c>
      <c r="F10" s="134">
        <f>Summary!F8</f>
        <v>0</v>
      </c>
      <c r="G10" s="134">
        <f>Summary!G8</f>
        <v>0</v>
      </c>
      <c r="H10" s="134">
        <f>E10+F10+G10</f>
        <v>0</v>
      </c>
    </row>
    <row r="11" spans="1:9" x14ac:dyDescent="0.25">
      <c r="B11" s="58" t="s">
        <v>38</v>
      </c>
      <c r="C11" s="134">
        <f>D11+E11+F11+G11</f>
        <v>0</v>
      </c>
      <c r="D11" s="134">
        <f>Summary!D9</f>
        <v>0</v>
      </c>
      <c r="E11" s="134">
        <f>Summary!E9</f>
        <v>0</v>
      </c>
      <c r="F11" s="134">
        <f>Summary!F9</f>
        <v>0</v>
      </c>
      <c r="G11" s="134">
        <f>Summary!G9</f>
        <v>0</v>
      </c>
      <c r="H11" s="134">
        <f>E11+F11+G11</f>
        <v>0</v>
      </c>
    </row>
    <row r="12" spans="1:9" x14ac:dyDescent="0.25">
      <c r="B12" s="58" t="s">
        <v>85</v>
      </c>
      <c r="C12" s="134">
        <f>D12+E12+F12+G12</f>
        <v>0</v>
      </c>
      <c r="D12" s="134">
        <f>Summary!D10</f>
        <v>0</v>
      </c>
      <c r="E12" s="134">
        <f>Summary!E10</f>
        <v>0</v>
      </c>
      <c r="F12" s="134">
        <f>Summary!F10</f>
        <v>0</v>
      </c>
      <c r="G12" s="134">
        <f>Summary!G10</f>
        <v>0</v>
      </c>
      <c r="H12" s="134">
        <f>E12+F12+G12</f>
        <v>0</v>
      </c>
    </row>
    <row r="13" spans="1:9" x14ac:dyDescent="0.25">
      <c r="B13" s="140" t="s">
        <v>57</v>
      </c>
      <c r="C13" s="140"/>
      <c r="D13" s="140"/>
      <c r="E13" s="140"/>
      <c r="F13" s="140"/>
      <c r="G13" s="140"/>
      <c r="H13" s="140"/>
    </row>
    <row r="14" spans="1:9" x14ac:dyDescent="0.25">
      <c r="B14" s="58" t="s">
        <v>26</v>
      </c>
      <c r="C14" s="134">
        <f>D14+E14+F14+G14</f>
        <v>0</v>
      </c>
      <c r="D14" s="134">
        <f>Summary!D12</f>
        <v>0</v>
      </c>
      <c r="E14" s="134">
        <f>Summary!E12</f>
        <v>0</v>
      </c>
      <c r="F14" s="134">
        <f>Summary!F12</f>
        <v>0</v>
      </c>
      <c r="G14" s="134">
        <f>Summary!G12</f>
        <v>0</v>
      </c>
      <c r="H14" s="134">
        <f>E14+F14+G14</f>
        <v>0</v>
      </c>
    </row>
    <row r="15" spans="1:9" x14ac:dyDescent="0.25">
      <c r="B15" s="58" t="s">
        <v>38</v>
      </c>
      <c r="C15" s="134">
        <f>D15+E15+F15+G15</f>
        <v>0</v>
      </c>
      <c r="D15" s="134">
        <f>Summary!D13</f>
        <v>0</v>
      </c>
      <c r="E15" s="134">
        <f>Summary!E13</f>
        <v>0</v>
      </c>
      <c r="F15" s="134">
        <f>Summary!F13</f>
        <v>0</v>
      </c>
      <c r="G15" s="134">
        <f>Summary!G13</f>
        <v>0</v>
      </c>
      <c r="H15" s="134">
        <f>E15+F15+G15</f>
        <v>0</v>
      </c>
      <c r="I15" s="134"/>
    </row>
    <row r="16" spans="1:9" x14ac:dyDescent="0.25">
      <c r="B16" s="58" t="s">
        <v>85</v>
      </c>
      <c r="C16" s="134">
        <f>D16+E16+F16+G16</f>
        <v>0</v>
      </c>
      <c r="D16" s="134">
        <f>Summary!D14</f>
        <v>0</v>
      </c>
      <c r="E16" s="134">
        <f>Summary!E14</f>
        <v>0</v>
      </c>
      <c r="F16" s="134">
        <f>Summary!F14</f>
        <v>0</v>
      </c>
      <c r="G16" s="134">
        <f>Summary!G14</f>
        <v>0</v>
      </c>
      <c r="H16" s="134">
        <f>E16+F16+G16</f>
        <v>0</v>
      </c>
    </row>
    <row r="17" spans="1:9" x14ac:dyDescent="0.25">
      <c r="B17" s="140" t="s">
        <v>37</v>
      </c>
      <c r="C17" s="140"/>
      <c r="D17" s="140"/>
      <c r="E17" s="140"/>
      <c r="F17" s="140"/>
      <c r="G17" s="140"/>
      <c r="H17" s="140"/>
    </row>
    <row r="18" spans="1:9" x14ac:dyDescent="0.25">
      <c r="B18" s="58" t="s">
        <v>26</v>
      </c>
      <c r="C18" s="134">
        <f t="shared" ref="C18:H19" si="0">C4+C10+C14</f>
        <v>815</v>
      </c>
      <c r="D18" s="134">
        <f t="shared" si="0"/>
        <v>683</v>
      </c>
      <c r="E18" s="134">
        <f t="shared" si="0"/>
        <v>18</v>
      </c>
      <c r="F18" s="134">
        <f t="shared" si="0"/>
        <v>33</v>
      </c>
      <c r="G18" s="134">
        <f t="shared" si="0"/>
        <v>81</v>
      </c>
      <c r="H18" s="134">
        <f t="shared" si="0"/>
        <v>132</v>
      </c>
    </row>
    <row r="19" spans="1:9" x14ac:dyDescent="0.25">
      <c r="B19" s="58" t="s">
        <v>38</v>
      </c>
      <c r="C19" s="134">
        <f t="shared" si="0"/>
        <v>675</v>
      </c>
      <c r="D19" s="134">
        <f t="shared" si="0"/>
        <v>576</v>
      </c>
      <c r="E19" s="134">
        <f t="shared" si="0"/>
        <v>14</v>
      </c>
      <c r="F19" s="134">
        <f t="shared" si="0"/>
        <v>22</v>
      </c>
      <c r="G19" s="134">
        <f t="shared" si="0"/>
        <v>63</v>
      </c>
      <c r="H19" s="134">
        <f t="shared" si="0"/>
        <v>99</v>
      </c>
    </row>
    <row r="20" spans="1:9" x14ac:dyDescent="0.25">
      <c r="B20" s="58" t="s">
        <v>141</v>
      </c>
      <c r="C20" s="26">
        <f>ROUND(IF(SUM(C$11,C$15)&gt;0, IF(C18&lt;&gt;0, C19/C18, 0), C6), 6)</f>
        <v>0.82822099999999998</v>
      </c>
      <c r="D20" s="26">
        <f>ROUND(IF(SUM(D$11,D$15)&gt;0, IF(D18&lt;&gt;0, D19/D18), D6), 6)</f>
        <v>0.84387599999999996</v>
      </c>
      <c r="E20" s="26">
        <f>ROUND(IF(SUM(E$11,E$15)&gt;0, IF(E18&lt;&gt;0, E19/E18), E6), 6)</f>
        <v>0.77777799999999997</v>
      </c>
      <c r="F20" s="26">
        <f>ROUND(IF(SUM(F$11,F$15)&gt;0, IF(F18&lt;&gt;0, F19/F18), F6), 6)</f>
        <v>0.66666700000000001</v>
      </c>
      <c r="G20" s="26">
        <f>ROUND(IF(SUM(G$11,G$15)&gt;0, IF(G18&lt;&gt;0, G19/G18), G6), 6)</f>
        <v>0.77777799999999997</v>
      </c>
      <c r="H20" s="26">
        <f>ROUND(IF(SUM(H$11,H$15)&gt;0, IF(H18&lt;&gt;0, H19/H18), H6), 6)</f>
        <v>0.75</v>
      </c>
    </row>
    <row r="21" spans="1:9" x14ac:dyDescent="0.25">
      <c r="B21" s="58" t="s">
        <v>85</v>
      </c>
      <c r="C21" s="134">
        <f t="shared" ref="C21:H21" si="1">C7+C12+C16</f>
        <v>1459</v>
      </c>
      <c r="D21" s="134">
        <f t="shared" si="1"/>
        <v>1300</v>
      </c>
      <c r="E21" s="134">
        <f t="shared" si="1"/>
        <v>27</v>
      </c>
      <c r="F21" s="134">
        <f t="shared" si="1"/>
        <v>32</v>
      </c>
      <c r="G21" s="134">
        <f t="shared" si="1"/>
        <v>100</v>
      </c>
      <c r="H21" s="134">
        <f t="shared" si="1"/>
        <v>159</v>
      </c>
    </row>
    <row r="22" spans="1:9" x14ac:dyDescent="0.25">
      <c r="B22" s="58" t="s">
        <v>18</v>
      </c>
      <c r="C22" s="16">
        <f>ROUND(IF(SUM(C$11,C$15)&gt;0, IF(C20&lt;&gt;0, C21/C19, 0), C8), 6)</f>
        <v>2.1614810000000002</v>
      </c>
      <c r="D22" s="16">
        <f>ROUND(IF(SUM(D$11,D$15)&gt;0, IF(D20&lt;&gt;0, D21/D19), D8), 6)</f>
        <v>2.2569439999999998</v>
      </c>
      <c r="E22" s="16">
        <f>ROUND(IF(SUM(E$11,E$15)&gt;0, IF(E20&lt;&gt;0, E21/E19), E8), 6)</f>
        <v>1.928571</v>
      </c>
      <c r="F22" s="16">
        <f>ROUND(IF(SUM(F$11,F$15)&gt;0, IF(F20&lt;&gt;0, F21/F19), F8), 6)</f>
        <v>1.454545</v>
      </c>
      <c r="G22" s="16">
        <f>ROUND(IF(SUM(G$11,G$15)&gt;0, IF(G20&lt;&gt;0, G21/G19), G8), 6)</f>
        <v>1.587302</v>
      </c>
      <c r="H22" s="16">
        <f>ROUND(IF(SUM(H$11,H$15)&gt;0, IF(H20&lt;&gt;0, H21/H19), H8), 6)</f>
        <v>1.606061</v>
      </c>
    </row>
    <row r="23" spans="1:9" x14ac:dyDescent="0.25">
      <c r="B23" s="180"/>
      <c r="C23" s="180"/>
      <c r="D23" s="180"/>
      <c r="E23" s="180"/>
      <c r="F23" s="180"/>
      <c r="G23" s="180"/>
      <c r="H23" s="180"/>
    </row>
    <row r="24" spans="1:9" x14ac:dyDescent="0.25">
      <c r="B24" s="180" t="s">
        <v>71</v>
      </c>
      <c r="C24" s="180"/>
      <c r="D24" s="180"/>
      <c r="E24" s="180"/>
      <c r="F24" s="180"/>
      <c r="G24" s="180"/>
      <c r="H24" s="180"/>
    </row>
    <row r="25" spans="1:9" s="150" customFormat="1" x14ac:dyDescent="0.25">
      <c r="A25" s="109"/>
      <c r="B25" s="58" t="s">
        <v>46</v>
      </c>
      <c r="C25" s="67" t="s">
        <v>92</v>
      </c>
      <c r="D25" s="67" t="s">
        <v>101</v>
      </c>
      <c r="E25" s="67" t="s">
        <v>12</v>
      </c>
      <c r="F25" s="67"/>
      <c r="G25" s="67"/>
      <c r="H25" s="67"/>
      <c r="I25" s="70"/>
    </row>
    <row r="26" spans="1:9" x14ac:dyDescent="0.25">
      <c r="B26" s="58" t="s">
        <v>26</v>
      </c>
      <c r="C26" s="134">
        <f>D26+E26</f>
        <v>82</v>
      </c>
      <c r="D26" s="134">
        <f>Detail!D38</f>
        <v>77</v>
      </c>
      <c r="E26" s="134">
        <f>Detail!D70</f>
        <v>5</v>
      </c>
      <c r="F26" s="134"/>
      <c r="G26" s="134"/>
      <c r="H26" s="134"/>
    </row>
    <row r="27" spans="1:9" x14ac:dyDescent="0.25">
      <c r="B27" s="58" t="s">
        <v>38</v>
      </c>
      <c r="C27" s="134">
        <f>D27+E27</f>
        <v>73</v>
      </c>
      <c r="D27" s="134">
        <f>IF(OR(Detail!$A$60, Detail!$A$61 ), Detail!D$47, IF(Detail!$A$62, Detail!D$48, IF(Detail!$A$63, Detail!D$50, Detail!D$48)))</f>
        <v>68</v>
      </c>
      <c r="E27" s="134">
        <f>Detail!E70</f>
        <v>5</v>
      </c>
      <c r="F27" s="134"/>
      <c r="G27" s="134"/>
      <c r="H27" s="134"/>
    </row>
    <row r="28" spans="1:9" x14ac:dyDescent="0.25">
      <c r="B28" s="58" t="s">
        <v>141</v>
      </c>
      <c r="C28" s="26">
        <f>ROUND(IF(OR(SUM(D27,E27)=0, E27=0), D28, IF(D27=0, E28, IF(C26&lt;&gt;0, C27/C26, 0))), 6)</f>
        <v>0.89024400000000004</v>
      </c>
      <c r="D28" s="26">
        <f>ROUND(IF(OR(Detail!$A$60, Detail!$A$61 ), Detail!D$41, IF(Detail!$A$62, Detail!D$42, IF(Detail!$A$63, Detail!D$45, Detail!D$42))), 6)</f>
        <v>0.885911</v>
      </c>
      <c r="E28" s="26">
        <f>ROUND(IF(E26&lt;&gt;0, E27/E26, 0), 6)</f>
        <v>1</v>
      </c>
      <c r="F28" s="134"/>
      <c r="G28" s="134"/>
      <c r="H28" s="134"/>
    </row>
    <row r="29" spans="1:9" x14ac:dyDescent="0.25">
      <c r="B29" s="58" t="s">
        <v>85</v>
      </c>
      <c r="C29" s="134">
        <f>D29+E29</f>
        <v>149</v>
      </c>
      <c r="D29" s="134">
        <f>IF(Detail!$A$60, Detail!D$60, IF(Detail!$A$61, Detail!D$61, IF(Detail!$A$62, Detail!D$62, IF(Detail!$A$63, Detail!D$63, Detail!D$62))))</f>
        <v>142</v>
      </c>
      <c r="E29" s="134">
        <f>Detail!G70</f>
        <v>7</v>
      </c>
      <c r="F29" s="134"/>
      <c r="G29" s="134"/>
      <c r="H29" s="134"/>
    </row>
    <row r="30" spans="1:9" x14ac:dyDescent="0.25">
      <c r="B30" s="58" t="s">
        <v>18</v>
      </c>
      <c r="C30" s="16">
        <f>ROUND(IF(OR(SUM(D29,E29)=0, E29=0), D30, IF(D29=0, E30, IF(C27&lt;&gt;0, C29/C27, 0))), 6)</f>
        <v>2.041096</v>
      </c>
      <c r="D30" s="16">
        <f>ROUND(IF(Detail!$A$60, Detail!D$54, IF(Detail!$A$61, Detail!D$57, IF(Detail!$A$62, Detail!D$58, IF(Detail!$A$63, Detail!D$59, Detail!D$58)))), 6)</f>
        <v>2.0845069999999999</v>
      </c>
      <c r="E30" s="16">
        <f>ROUND(IF(E27&lt;&gt;0, E29/E27, 0), 6)</f>
        <v>1.4</v>
      </c>
      <c r="F30" s="134"/>
      <c r="G30" s="134"/>
      <c r="H30" s="134"/>
    </row>
    <row r="31" spans="1:9" x14ac:dyDescent="0.25">
      <c r="B31" s="140" t="s">
        <v>19</v>
      </c>
      <c r="C31" s="140"/>
      <c r="D31" s="140"/>
      <c r="E31" s="140"/>
      <c r="F31" s="140"/>
      <c r="G31" s="140"/>
      <c r="H31" s="140"/>
    </row>
    <row r="32" spans="1:9" x14ac:dyDescent="0.25">
      <c r="B32" s="58" t="s">
        <v>26</v>
      </c>
      <c r="C32" s="134">
        <f>D32+E32</f>
        <v>0</v>
      </c>
      <c r="D32" s="134">
        <f>Summary!D29</f>
        <v>0</v>
      </c>
      <c r="E32" s="134">
        <f>Summary!E29</f>
        <v>0</v>
      </c>
      <c r="F32" s="26"/>
      <c r="G32" s="26"/>
      <c r="H32" s="26"/>
    </row>
    <row r="33" spans="2:9" x14ac:dyDescent="0.25">
      <c r="B33" s="58" t="s">
        <v>38</v>
      </c>
      <c r="C33" s="134">
        <f>D33+E33</f>
        <v>0</v>
      </c>
      <c r="D33" s="134">
        <f>Summary!D30</f>
        <v>0</v>
      </c>
      <c r="E33" s="134">
        <f>Summary!E30</f>
        <v>0</v>
      </c>
      <c r="F33" s="26"/>
      <c r="G33" s="26"/>
      <c r="H33" s="26"/>
    </row>
    <row r="34" spans="2:9" x14ac:dyDescent="0.25">
      <c r="B34" s="58" t="s">
        <v>85</v>
      </c>
      <c r="C34" s="134">
        <f>D34+E34</f>
        <v>0</v>
      </c>
      <c r="D34" s="134">
        <f>Summary!D31</f>
        <v>0</v>
      </c>
      <c r="E34" s="134">
        <f>Summary!E31</f>
        <v>0</v>
      </c>
      <c r="F34" s="26"/>
      <c r="G34" s="26"/>
      <c r="H34" s="26"/>
    </row>
    <row r="35" spans="2:9" x14ac:dyDescent="0.25">
      <c r="B35" s="140" t="s">
        <v>57</v>
      </c>
      <c r="C35" s="140"/>
      <c r="D35" s="140"/>
      <c r="E35" s="140"/>
      <c r="F35" s="140"/>
      <c r="G35" s="140"/>
      <c r="H35" s="140"/>
    </row>
    <row r="36" spans="2:9" x14ac:dyDescent="0.25">
      <c r="B36" s="58" t="s">
        <v>26</v>
      </c>
      <c r="C36" s="134">
        <f>D36+E36</f>
        <v>0</v>
      </c>
      <c r="D36" s="134">
        <f>Summary!D33</f>
        <v>0</v>
      </c>
      <c r="E36" s="134">
        <f>Summary!E33</f>
        <v>0</v>
      </c>
      <c r="F36" s="26"/>
      <c r="G36" s="26"/>
      <c r="H36" s="26"/>
    </row>
    <row r="37" spans="2:9" x14ac:dyDescent="0.25">
      <c r="B37" s="58" t="s">
        <v>38</v>
      </c>
      <c r="C37" s="134">
        <f>D37+E37</f>
        <v>0</v>
      </c>
      <c r="D37" s="134">
        <f>Summary!D34</f>
        <v>0</v>
      </c>
      <c r="E37" s="134">
        <f>Summary!E34</f>
        <v>0</v>
      </c>
      <c r="F37" s="26"/>
      <c r="G37" s="26"/>
      <c r="H37" s="26"/>
      <c r="I37" s="134"/>
    </row>
    <row r="38" spans="2:9" x14ac:dyDescent="0.25">
      <c r="B38" s="58" t="s">
        <v>85</v>
      </c>
      <c r="C38" s="134">
        <f>D38+E38</f>
        <v>0</v>
      </c>
      <c r="D38" s="134">
        <f>Summary!D35</f>
        <v>0</v>
      </c>
      <c r="E38" s="134">
        <f>Summary!E35</f>
        <v>0</v>
      </c>
      <c r="F38" s="26"/>
      <c r="G38" s="26"/>
      <c r="H38" s="26"/>
    </row>
    <row r="39" spans="2:9" x14ac:dyDescent="0.25">
      <c r="B39" s="140" t="s">
        <v>37</v>
      </c>
      <c r="C39" s="140"/>
      <c r="D39" s="140"/>
      <c r="E39" s="140"/>
      <c r="F39" s="140"/>
      <c r="G39" s="140"/>
      <c r="H39" s="140"/>
    </row>
    <row r="40" spans="2:9" x14ac:dyDescent="0.25">
      <c r="B40" s="58" t="s">
        <v>26</v>
      </c>
      <c r="C40" s="134">
        <f t="shared" ref="C40:E41" si="2">C26+C32+C36</f>
        <v>82</v>
      </c>
      <c r="D40" s="134">
        <f t="shared" si="2"/>
        <v>77</v>
      </c>
      <c r="E40" s="134">
        <f t="shared" si="2"/>
        <v>5</v>
      </c>
      <c r="F40" s="134"/>
      <c r="G40" s="134"/>
      <c r="H40" s="134"/>
    </row>
    <row r="41" spans="2:9" x14ac:dyDescent="0.25">
      <c r="B41" s="58" t="s">
        <v>38</v>
      </c>
      <c r="C41" s="134">
        <f t="shared" si="2"/>
        <v>73</v>
      </c>
      <c r="D41" s="134">
        <f t="shared" si="2"/>
        <v>68</v>
      </c>
      <c r="E41" s="134">
        <f t="shared" si="2"/>
        <v>5</v>
      </c>
      <c r="F41" s="134"/>
      <c r="G41" s="134"/>
      <c r="H41" s="134"/>
    </row>
    <row r="42" spans="2:9" x14ac:dyDescent="0.25">
      <c r="B42" s="58" t="s">
        <v>141</v>
      </c>
      <c r="C42" s="26">
        <f>ROUND(IF(SUM(C$33, C$37)&gt;0, IF(C40&lt;&gt;0, C41/C40, 0), C28), 6)</f>
        <v>0.89024400000000004</v>
      </c>
      <c r="D42" s="26">
        <f>ROUND(IF(SUM(D$33, D$37)&gt;0, IF(D40&lt;&gt;0, D41/D40, 0), D28), 6)</f>
        <v>0.885911</v>
      </c>
      <c r="E42" s="26">
        <f>ROUND(IF(SUM(E$33, E$37)&gt;0, IF(E40&lt;&gt;0, E41/E40, 0), E28), 6)</f>
        <v>1</v>
      </c>
      <c r="F42" s="134"/>
      <c r="G42" s="134"/>
      <c r="H42" s="134"/>
    </row>
    <row r="43" spans="2:9" x14ac:dyDescent="0.25">
      <c r="B43" s="58" t="s">
        <v>85</v>
      </c>
      <c r="C43" s="134">
        <f>C29+C34+C38</f>
        <v>149</v>
      </c>
      <c r="D43" s="134">
        <f>D29+D34+D38</f>
        <v>142</v>
      </c>
      <c r="E43" s="134">
        <f>E29+E34+E38</f>
        <v>7</v>
      </c>
      <c r="F43" s="134"/>
      <c r="G43" s="134"/>
      <c r="H43" s="134"/>
    </row>
    <row r="44" spans="2:9" x14ac:dyDescent="0.25">
      <c r="B44" s="58" t="s">
        <v>18</v>
      </c>
      <c r="C44" s="16">
        <f>ROUND(IF(SUM(C$33, C$37)&gt;0, IF(C41&lt;&gt;0, C43/C41, 0), C30), 6)</f>
        <v>2.041096</v>
      </c>
      <c r="D44" s="16">
        <f>ROUND(IF(SUM(D$33, D$37)&gt;0, IF(D41&lt;&gt;0, D43/D41, 0), D30), 6)</f>
        <v>2.0845069999999999</v>
      </c>
      <c r="E44" s="16">
        <f>ROUND(IF(SUM(E$33, E$37)&gt;0, IF(E41&lt;&gt;0, E43/E41, 0), E30), 6)</f>
        <v>1.4</v>
      </c>
      <c r="F44" s="134"/>
      <c r="G44" s="134"/>
      <c r="H44" s="134"/>
    </row>
    <row r="45" spans="2:9" x14ac:dyDescent="0.25">
      <c r="B45" s="180"/>
      <c r="C45" s="180"/>
      <c r="D45" s="180"/>
      <c r="E45" s="180"/>
      <c r="F45" s="180"/>
      <c r="G45" s="180"/>
      <c r="H45" s="180"/>
    </row>
    <row r="46" spans="2:9" x14ac:dyDescent="0.25">
      <c r="B46" s="95" t="s">
        <v>9</v>
      </c>
      <c r="C46" s="67" t="s">
        <v>92</v>
      </c>
      <c r="D46" s="67" t="s">
        <v>5</v>
      </c>
      <c r="E46" s="67" t="s">
        <v>128</v>
      </c>
      <c r="F46" s="67" t="s">
        <v>40</v>
      </c>
      <c r="G46" s="67" t="s">
        <v>0</v>
      </c>
      <c r="H46" s="67" t="s">
        <v>41</v>
      </c>
    </row>
    <row r="47" spans="2:9" x14ac:dyDescent="0.25">
      <c r="B47" s="95" t="s">
        <v>129</v>
      </c>
      <c r="C47" s="67"/>
      <c r="D47" s="67"/>
      <c r="E47" s="67"/>
      <c r="F47" s="67"/>
      <c r="G47" s="67"/>
      <c r="H47" s="67"/>
    </row>
    <row r="48" spans="2:9" x14ac:dyDescent="0.25">
      <c r="B48" s="58" t="s">
        <v>15</v>
      </c>
      <c r="C48" s="134">
        <f>D48+E48+F48+G48+H48</f>
        <v>50</v>
      </c>
      <c r="D48" s="134">
        <f>Detail!E77</f>
        <v>21</v>
      </c>
      <c r="E48" s="134">
        <f>Detail!F77</f>
        <v>0</v>
      </c>
      <c r="F48" s="134">
        <f>Detail!G77</f>
        <v>28</v>
      </c>
      <c r="G48" s="134">
        <f>Detail!H77</f>
        <v>0</v>
      </c>
      <c r="H48" s="134">
        <f>Detail!I77</f>
        <v>1</v>
      </c>
    </row>
    <row r="49" spans="1:9" x14ac:dyDescent="0.25">
      <c r="B49" s="58" t="s">
        <v>111</v>
      </c>
      <c r="C49" s="134">
        <f>D49+E49+F49+G49+H49</f>
        <v>0</v>
      </c>
      <c r="D49" s="134">
        <f>Summary!D45</f>
        <v>0</v>
      </c>
      <c r="E49" s="134">
        <f>Summary!E45</f>
        <v>0</v>
      </c>
      <c r="F49" s="134">
        <f>Summary!F45</f>
        <v>0</v>
      </c>
      <c r="G49" s="134">
        <f>Summary!G45</f>
        <v>0</v>
      </c>
      <c r="H49" s="134">
        <f>Summary!H45</f>
        <v>0</v>
      </c>
    </row>
    <row r="50" spans="1:9" x14ac:dyDescent="0.25">
      <c r="B50" s="58" t="s">
        <v>64</v>
      </c>
      <c r="C50" s="134">
        <f>D50+E50+F50+G50+H50</f>
        <v>50</v>
      </c>
      <c r="D50" s="134">
        <f>D48+D49</f>
        <v>21</v>
      </c>
      <c r="E50" s="134">
        <f>E48+E49</f>
        <v>0</v>
      </c>
      <c r="F50" s="134">
        <f>F48+F49</f>
        <v>28</v>
      </c>
      <c r="G50" s="134">
        <f>G48+G49</f>
        <v>0</v>
      </c>
      <c r="H50" s="134">
        <f>H48+H49</f>
        <v>1</v>
      </c>
    </row>
    <row r="51" spans="1:9" x14ac:dyDescent="0.25">
      <c r="B51" s="180"/>
      <c r="C51" s="180"/>
      <c r="D51" s="180"/>
      <c r="E51" s="180"/>
      <c r="F51" s="180"/>
      <c r="G51" s="180"/>
      <c r="H51" s="180"/>
    </row>
    <row r="52" spans="1:9" x14ac:dyDescent="0.25">
      <c r="B52" s="95" t="s">
        <v>121</v>
      </c>
      <c r="C52" s="67" t="s">
        <v>129</v>
      </c>
      <c r="D52" s="67" t="s">
        <v>106</v>
      </c>
      <c r="E52" s="67" t="s">
        <v>97</v>
      </c>
      <c r="F52" s="67" t="s">
        <v>146</v>
      </c>
      <c r="G52" s="67" t="s">
        <v>140</v>
      </c>
      <c r="H52" s="67" t="s">
        <v>13</v>
      </c>
      <c r="I52" s="67" t="s">
        <v>98</v>
      </c>
    </row>
    <row r="53" spans="1:9" x14ac:dyDescent="0.25">
      <c r="B53" s="58" t="s">
        <v>15</v>
      </c>
      <c r="C53" s="134">
        <f>D53+E53</f>
        <v>1658</v>
      </c>
      <c r="D53" s="134">
        <f>C50</f>
        <v>50</v>
      </c>
      <c r="E53" s="134">
        <f>C21+C43</f>
        <v>1608</v>
      </c>
      <c r="F53" s="16">
        <f>ROUND(IF(AND(SUM($C11, $C15)=0, $C41=0), $C8, IF(AND(SUM($C33, $C37)=0, $C19=0), $C30, IF(H53&lt;&gt;0, E53/H53, 0))), 6)</f>
        <v>2.1497329999999999</v>
      </c>
      <c r="G53" s="134">
        <f>C18+C40</f>
        <v>897</v>
      </c>
      <c r="H53" s="134">
        <f>C19+C41</f>
        <v>748</v>
      </c>
      <c r="I53" s="26">
        <f>ROUND(IF(AND(SUM($C11, $C15)=0, $C41=0), $C6, IF(AND(SUM($C33, $C37)=0, $C19=0), $C28, IF(G53&lt;&gt;0, H53/G53, 0))), 6)</f>
        <v>0.83389100000000005</v>
      </c>
    </row>
    <row r="54" spans="1:9" x14ac:dyDescent="0.25">
      <c r="B54" s="58" t="s">
        <v>25</v>
      </c>
      <c r="C54" s="134">
        <f>D54+E54</f>
        <v>1653</v>
      </c>
      <c r="D54" s="134">
        <f>C50</f>
        <v>50</v>
      </c>
      <c r="E54" s="134">
        <f>Calculations!C61 + Calculations!C71</f>
        <v>1603</v>
      </c>
      <c r="F54" s="31">
        <f>ROUND(IF(AND(SUM(Summary!$C9, Summary!$C13)=0, Calculations!$C69=0), Calculations!$C57, IF(AND(SUM(Summary!$C30, Summary!$C34)=0, Calculations!$C59=0), Calculations!$C67, IF(Summary!H50&lt;&gt;0, Summary!E50/Summary!H50, 0))), 6)</f>
        <v>2.1487940000000001</v>
      </c>
      <c r="G54" s="134">
        <f>Calculations!C58 + Calculations!C68</f>
        <v>897</v>
      </c>
      <c r="H54" s="134">
        <f>Calculations!C59 + Calculations!C69</f>
        <v>746</v>
      </c>
      <c r="I54" s="26">
        <f>ROUND(IF(AND(SUM(Summary!$C9, Summary!$C13)=0, Calculations!$C69=0), Calculations!$C55, IF(AND(SUM(Summary!$C30, Summary!$C34)=0, Calculations!$C59=0), Calculations!$C65, IF(Summary!G50&lt;&gt;0, Summary!H50/Summary!G50, 0))), 6)</f>
        <v>0.83166099999999998</v>
      </c>
    </row>
    <row r="55" spans="1:9" x14ac:dyDescent="0.25">
      <c r="A55" s="45" t="str">
        <f>IF(Summary!A51, "X", "")</f>
        <v/>
      </c>
      <c r="B55" s="58" t="s">
        <v>136</v>
      </c>
      <c r="C55" s="134">
        <f>C53</f>
        <v>1658</v>
      </c>
      <c r="D55" s="134"/>
      <c r="E55" s="134"/>
      <c r="F55" s="134"/>
      <c r="G55" s="134"/>
      <c r="H55" s="134"/>
    </row>
    <row r="56" spans="1:9" x14ac:dyDescent="0.25">
      <c r="A56" s="45" t="str">
        <f>IF(Summary!A52, "X", "")</f>
        <v>X</v>
      </c>
      <c r="B56" s="58" t="s">
        <v>56</v>
      </c>
      <c r="C56" s="134">
        <f>Calculations!C77</f>
        <v>1660</v>
      </c>
      <c r="D56" s="134"/>
      <c r="E56" s="134"/>
      <c r="F56" s="134"/>
      <c r="G56" s="134"/>
      <c r="H56" s="134"/>
    </row>
    <row r="57" spans="1:9" x14ac:dyDescent="0.25">
      <c r="A57" s="45" t="str">
        <f>IF(Summary!A53, "X", "")</f>
        <v/>
      </c>
      <c r="B57" s="58" t="s">
        <v>28</v>
      </c>
      <c r="C57" s="12">
        <f>Summary!C53</f>
        <v>0</v>
      </c>
      <c r="D57" s="134"/>
      <c r="E57" s="134"/>
      <c r="F57" s="134"/>
      <c r="G57" s="134"/>
      <c r="H57" s="134"/>
    </row>
    <row r="58" spans="1:9" x14ac:dyDescent="0.25">
      <c r="A58" s="45" t="str">
        <f>IF(Summary!A54, "X", "")</f>
        <v/>
      </c>
      <c r="B58" s="58" t="s">
        <v>81</v>
      </c>
      <c r="C58" s="12">
        <f>Summary!C54</f>
        <v>0</v>
      </c>
      <c r="D58" s="134"/>
      <c r="E58" s="134"/>
      <c r="F58" s="134"/>
      <c r="G58" s="134"/>
      <c r="H58" s="134"/>
    </row>
    <row r="59" spans="1:9" x14ac:dyDescent="0.25">
      <c r="B59" s="58" t="s">
        <v>60</v>
      </c>
      <c r="C59" s="134">
        <f>Summary!C55</f>
        <v>0</v>
      </c>
      <c r="D59" s="134"/>
      <c r="E59" s="134"/>
      <c r="F59" s="134"/>
      <c r="G59" s="134"/>
      <c r="H59" s="134"/>
    </row>
  </sheetData>
  <mergeCells count="6">
    <mergeCell ref="A1:H1"/>
    <mergeCell ref="B2:H2"/>
    <mergeCell ref="B24:H24"/>
    <mergeCell ref="B45:H45"/>
    <mergeCell ref="B51:H51"/>
    <mergeCell ref="B23:H23"/>
  </mergeCells>
  <pageMargins left="0.2" right="0.2" top="0.5" bottom="0.5" header="0.3" footer="0.3"/>
  <pageSetup scale="96" fitToHeight="0" orientation="landscape" verticalDpi="0" r:id="rId1"/>
  <headerFooter>
    <oddHeader>&amp;C&amp;"-,Bold"&amp;16Estimate Summary</oddHeader>
    <oddFooter>&amp;LOffice of Financial Management, State of Washington&amp;C&amp;P&amp;R&amp;D  &amp;T     CENEST057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Detail</vt:lpstr>
      <vt:lpstr>Summary</vt:lpstr>
      <vt:lpstr>Calculations</vt:lpstr>
      <vt:lpstr>Detail Report</vt:lpstr>
      <vt:lpstr>Summary Report</vt:lpstr>
    </vt:vector>
  </TitlesOfParts>
  <Company>Office of Financial Management, State of Washington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curtist</dc:creator>
  <cp:lastModifiedBy>Canlett, Jesse (OFM)</cp:lastModifiedBy>
  <dcterms:created xsi:type="dcterms:W3CDTF">2017-10-11T15:16:59Z</dcterms:created>
  <dcterms:modified xsi:type="dcterms:W3CDTF">2017-10-12T14:15:42Z</dcterms:modified>
</cp:coreProperties>
</file>